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abankers.org\userfolders\mdarmanin\Committees\Government Relations Committee\2022 Meetings\05-26\"/>
    </mc:Choice>
  </mc:AlternateContent>
  <xr:revisionPtr revIDLastSave="0" documentId="13_ncr:1_{47F26E2A-9D9E-4F48-925C-1DA36D01857E}" xr6:coauthVersionLast="47" xr6:coauthVersionMax="47" xr10:uidLastSave="{00000000-0000-0000-0000-000000000000}"/>
  <bookViews>
    <workbookView xWindow="21240" yWindow="795" windowWidth="19200" windowHeight="11040" firstSheet="2" activeTab="2" xr2:uid="{6FA61422-2725-4125-A9D8-17AE81B01FD7}"/>
  </bookViews>
  <sheets>
    <sheet name="Sheet1" sheetId="1" r:id="rId1"/>
    <sheet name="Sheet2" sheetId="2" r:id="rId2"/>
    <sheet name="List" sheetId="3" r:id="rId3"/>
  </sheets>
  <externalReferences>
    <externalReference r:id="rId4"/>
  </externalReferences>
  <definedNames>
    <definedName name="_xlnm._FilterDatabase" localSheetId="2" hidden="1">List!$B$5:$CD$105</definedName>
    <definedName name="_xlnm.Print_Area" localSheetId="2">List!$J:$J</definedName>
    <definedName name="_xlnm.Print_Titles" localSheetId="2">List!$1:$5</definedName>
    <definedName name="Query_from_iMIS10" localSheetId="2" hidden="1">List!$A$5:$K$96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I102" i="3" l="1"/>
  <c r="CH102" i="3"/>
  <c r="CG102" i="3"/>
  <c r="CF102" i="3"/>
  <c r="CJ101" i="3"/>
  <c r="CJ100" i="3"/>
  <c r="CJ99" i="3"/>
  <c r="CJ98" i="3"/>
  <c r="CJ97" i="3"/>
  <c r="CJ96" i="3"/>
  <c r="CJ95" i="3"/>
  <c r="CJ94" i="3"/>
  <c r="CJ92" i="3"/>
  <c r="CJ91" i="3"/>
  <c r="CJ90" i="3"/>
  <c r="CJ89" i="3"/>
  <c r="CJ88" i="3"/>
  <c r="CJ87" i="3"/>
  <c r="CJ86" i="3"/>
  <c r="CJ85" i="3"/>
  <c r="CJ84" i="3"/>
  <c r="CJ83" i="3"/>
  <c r="CJ82" i="3"/>
  <c r="CJ81" i="3"/>
  <c r="CJ80" i="3"/>
  <c r="CJ79" i="3"/>
  <c r="CJ78" i="3"/>
  <c r="CJ77" i="3"/>
  <c r="CJ76" i="3"/>
  <c r="CJ75" i="3"/>
  <c r="CJ74" i="3"/>
  <c r="CJ72" i="3"/>
  <c r="CJ71" i="3"/>
  <c r="CJ70" i="3"/>
  <c r="CJ69" i="3"/>
  <c r="CJ68" i="3"/>
  <c r="CJ66" i="3"/>
  <c r="CJ65" i="3"/>
  <c r="CJ64" i="3"/>
  <c r="CJ63" i="3"/>
  <c r="CJ62" i="3"/>
  <c r="CJ61" i="3"/>
  <c r="CJ60" i="3"/>
  <c r="CJ59" i="3"/>
  <c r="CJ58" i="3"/>
  <c r="CJ57" i="3"/>
  <c r="CJ56" i="3"/>
  <c r="CJ55" i="3"/>
  <c r="CJ54" i="3"/>
  <c r="CJ53" i="3"/>
  <c r="CJ52" i="3"/>
  <c r="CJ50" i="3"/>
  <c r="CJ48" i="3"/>
  <c r="CJ47" i="3"/>
  <c r="CJ46" i="3"/>
  <c r="CJ45" i="3"/>
  <c r="CJ44" i="3"/>
  <c r="CJ43" i="3"/>
  <c r="CJ42" i="3"/>
  <c r="CJ41" i="3"/>
  <c r="CJ40" i="3"/>
  <c r="CJ39" i="3"/>
  <c r="CJ37" i="3"/>
  <c r="CJ36" i="3"/>
  <c r="CJ35" i="3"/>
  <c r="CJ34" i="3"/>
  <c r="CJ33" i="3"/>
  <c r="CJ32" i="3"/>
  <c r="CJ31" i="3"/>
  <c r="CJ30" i="3"/>
  <c r="CJ29" i="3"/>
  <c r="CJ28" i="3"/>
  <c r="CJ27" i="3"/>
  <c r="CJ26" i="3"/>
  <c r="CJ25" i="3"/>
  <c r="CJ24" i="3"/>
  <c r="CJ23" i="3"/>
  <c r="CJ22" i="3"/>
  <c r="CJ21" i="3"/>
  <c r="CJ20" i="3"/>
  <c r="CJ19" i="3"/>
  <c r="CJ18" i="3"/>
  <c r="CJ17" i="3"/>
  <c r="CJ16" i="3"/>
  <c r="CJ15" i="3"/>
  <c r="CJ14" i="3"/>
  <c r="CJ13" i="3"/>
  <c r="CJ12" i="3"/>
  <c r="CJ11" i="3"/>
  <c r="CJ10" i="3"/>
  <c r="CJ9" i="3"/>
  <c r="CJ8" i="3"/>
  <c r="CJ7" i="3"/>
  <c r="CJ6" i="3"/>
  <c r="F105" i="3"/>
  <c r="BE104" i="3"/>
  <c r="AZ104" i="3"/>
  <c r="AU104" i="3"/>
  <c r="F104" i="3"/>
  <c r="BE103" i="3"/>
  <c r="AZ103" i="3"/>
  <c r="F103" i="3"/>
  <c r="CD102" i="3"/>
  <c r="CC102" i="3"/>
  <c r="CB102" i="3"/>
  <c r="CA102" i="3"/>
  <c r="BY102" i="3"/>
  <c r="BX102" i="3"/>
  <c r="BW102" i="3"/>
  <c r="BV102" i="3"/>
  <c r="BZ102" i="3" s="1"/>
  <c r="BU102" i="3"/>
  <c r="BS102" i="3"/>
  <c r="BR102" i="3"/>
  <c r="BN102" i="3"/>
  <c r="BL102" i="3"/>
  <c r="BK102" i="3"/>
  <c r="BI102" i="3"/>
  <c r="BH102" i="3"/>
  <c r="BG102" i="3"/>
  <c r="BF102" i="3"/>
  <c r="BJ102" i="3" s="1"/>
  <c r="BD102" i="3"/>
  <c r="BC102" i="3"/>
  <c r="BB102" i="3"/>
  <c r="BA102" i="3"/>
  <c r="AY102" i="3"/>
  <c r="AX102" i="3"/>
  <c r="AW102" i="3"/>
  <c r="AJ102" i="3"/>
  <c r="AE102" i="3"/>
  <c r="Z102" i="3"/>
  <c r="U102" i="3"/>
  <c r="P102" i="3"/>
  <c r="F102" i="3"/>
  <c r="CE101" i="3"/>
  <c r="BZ101" i="3"/>
  <c r="BT101" i="3"/>
  <c r="BO101" i="3"/>
  <c r="BE101" i="3"/>
  <c r="AZ101" i="3"/>
  <c r="AU101" i="3"/>
  <c r="AP101" i="3"/>
  <c r="AK101" i="3"/>
  <c r="AF101" i="3"/>
  <c r="AA101" i="3"/>
  <c r="V101" i="3"/>
  <c r="Q101" i="3"/>
  <c r="F101" i="3"/>
  <c r="E101" i="3"/>
  <c r="G101" i="3" s="1"/>
  <c r="CE100" i="3"/>
  <c r="BZ100" i="3"/>
  <c r="BO100" i="3"/>
  <c r="BE100" i="3"/>
  <c r="AZ100" i="3"/>
  <c r="AU100" i="3"/>
  <c r="AP100" i="3"/>
  <c r="AK100" i="3"/>
  <c r="AF100" i="3"/>
  <c r="AA100" i="3"/>
  <c r="V100" i="3"/>
  <c r="Q100" i="3"/>
  <c r="F100" i="3"/>
  <c r="E100" i="3"/>
  <c r="G100" i="3" s="1"/>
  <c r="CE99" i="3"/>
  <c r="BZ99" i="3"/>
  <c r="BT99" i="3"/>
  <c r="BO99" i="3"/>
  <c r="BJ99" i="3"/>
  <c r="BE99" i="3"/>
  <c r="AZ99" i="3"/>
  <c r="AU99" i="3"/>
  <c r="AP99" i="3"/>
  <c r="AK99" i="3"/>
  <c r="AF99" i="3"/>
  <c r="AA99" i="3"/>
  <c r="V99" i="3"/>
  <c r="Q99" i="3"/>
  <c r="F99" i="3"/>
  <c r="E99" i="3"/>
  <c r="G99" i="3" s="1"/>
  <c r="CE98" i="3"/>
  <c r="BZ98" i="3"/>
  <c r="BT98" i="3"/>
  <c r="BO98" i="3"/>
  <c r="BJ98" i="3"/>
  <c r="BE98" i="3"/>
  <c r="AZ98" i="3"/>
  <c r="AU98" i="3"/>
  <c r="AP98" i="3"/>
  <c r="AK98" i="3"/>
  <c r="AF98" i="3"/>
  <c r="AA98" i="3"/>
  <c r="V98" i="3"/>
  <c r="Q98" i="3"/>
  <c r="F98" i="3"/>
  <c r="E98" i="3"/>
  <c r="CE97" i="3"/>
  <c r="BZ97" i="3"/>
  <c r="BT97" i="3"/>
  <c r="BO97" i="3"/>
  <c r="BJ97" i="3"/>
  <c r="BE97" i="3"/>
  <c r="AZ97" i="3"/>
  <c r="AQ97" i="3"/>
  <c r="AU97" i="3" s="1"/>
  <c r="AP97" i="3"/>
  <c r="AK97" i="3"/>
  <c r="AF97" i="3"/>
  <c r="AA97" i="3"/>
  <c r="V97" i="3"/>
  <c r="O97" i="3"/>
  <c r="N97" i="3"/>
  <c r="Q97" i="3" s="1"/>
  <c r="F97" i="3"/>
  <c r="E97" i="3"/>
  <c r="G97" i="3" s="1"/>
  <c r="CE96" i="3"/>
  <c r="BZ96" i="3"/>
  <c r="BT96" i="3"/>
  <c r="BO96" i="3"/>
  <c r="BJ96" i="3"/>
  <c r="BE96" i="3"/>
  <c r="AZ96" i="3"/>
  <c r="AU96" i="3"/>
  <c r="AP96" i="3"/>
  <c r="AK96" i="3"/>
  <c r="AF96" i="3"/>
  <c r="AA96" i="3"/>
  <c r="V96" i="3"/>
  <c r="Q96" i="3"/>
  <c r="F96" i="3"/>
  <c r="E96" i="3"/>
  <c r="G96" i="3" s="1"/>
  <c r="CE95" i="3"/>
  <c r="BZ95" i="3"/>
  <c r="BT95" i="3"/>
  <c r="F95" i="3"/>
  <c r="E95" i="3"/>
  <c r="G95" i="3" s="1"/>
  <c r="CE94" i="3"/>
  <c r="BZ94" i="3"/>
  <c r="BT94" i="3"/>
  <c r="BO94" i="3"/>
  <c r="BJ94" i="3"/>
  <c r="BE94" i="3"/>
  <c r="AZ94" i="3"/>
  <c r="AU94" i="3"/>
  <c r="AM94" i="3"/>
  <c r="AL94" i="3"/>
  <c r="AK94" i="3"/>
  <c r="AH94" i="3"/>
  <c r="AG94" i="3"/>
  <c r="AC94" i="3"/>
  <c r="AB94" i="3"/>
  <c r="AF94" i="3" s="1"/>
  <c r="X94" i="3"/>
  <c r="AA94" i="3" s="1"/>
  <c r="V94" i="3"/>
  <c r="S94" i="3"/>
  <c r="R94" i="3"/>
  <c r="O94" i="3"/>
  <c r="N94" i="3"/>
  <c r="M94" i="3"/>
  <c r="Q94" i="3" s="1"/>
  <c r="F94" i="3"/>
  <c r="E94" i="3"/>
  <c r="G94" i="3" s="1"/>
  <c r="F93" i="3"/>
  <c r="E93" i="3"/>
  <c r="G93" i="3" s="1"/>
  <c r="CE92" i="3"/>
  <c r="BZ92" i="3"/>
  <c r="BT92" i="3"/>
  <c r="BO92" i="3"/>
  <c r="BJ92" i="3"/>
  <c r="BE92" i="3"/>
  <c r="AZ92" i="3"/>
  <c r="AU92" i="3"/>
  <c r="AP92" i="3"/>
  <c r="AK92" i="3"/>
  <c r="AF92" i="3"/>
  <c r="AA92" i="3"/>
  <c r="V92" i="3"/>
  <c r="Q92" i="3"/>
  <c r="F92" i="3"/>
  <c r="E92" i="3"/>
  <c r="G92" i="3" s="1"/>
  <c r="CE91" i="3"/>
  <c r="BZ91" i="3"/>
  <c r="BP91" i="3"/>
  <c r="BP102" i="3" s="1"/>
  <c r="F91" i="3"/>
  <c r="E91" i="3"/>
  <c r="G91" i="3" s="1"/>
  <c r="CE90" i="3"/>
  <c r="BZ90" i="3"/>
  <c r="BT90" i="3"/>
  <c r="BO90" i="3"/>
  <c r="BJ90" i="3"/>
  <c r="BE90" i="3"/>
  <c r="AZ90" i="3"/>
  <c r="AU90" i="3"/>
  <c r="AP90" i="3"/>
  <c r="AK90" i="3"/>
  <c r="AF90" i="3"/>
  <c r="AA90" i="3"/>
  <c r="V90" i="3"/>
  <c r="Q90" i="3"/>
  <c r="F90" i="3"/>
  <c r="E90" i="3"/>
  <c r="G90" i="3" s="1"/>
  <c r="CE89" i="3"/>
  <c r="BZ89" i="3"/>
  <c r="BT89" i="3"/>
  <c r="BO89" i="3"/>
  <c r="BJ89" i="3"/>
  <c r="BE89" i="3"/>
  <c r="AZ89" i="3"/>
  <c r="AU89" i="3"/>
  <c r="AP89" i="3"/>
  <c r="AK89" i="3"/>
  <c r="AF89" i="3"/>
  <c r="AA89" i="3"/>
  <c r="V89" i="3"/>
  <c r="Q89" i="3"/>
  <c r="G89" i="3"/>
  <c r="F89" i="3"/>
  <c r="E89" i="3"/>
  <c r="CE88" i="3"/>
  <c r="BZ88" i="3"/>
  <c r="BT88" i="3"/>
  <c r="BO88" i="3"/>
  <c r="BJ88" i="3"/>
  <c r="BE88" i="3"/>
  <c r="AZ88" i="3"/>
  <c r="AU88" i="3"/>
  <c r="AP88" i="3"/>
  <c r="AK88" i="3"/>
  <c r="AF88" i="3"/>
  <c r="AA88" i="3"/>
  <c r="V88" i="3"/>
  <c r="Q88" i="3"/>
  <c r="F88" i="3"/>
  <c r="E88" i="3"/>
  <c r="G88" i="3" s="1"/>
  <c r="CE87" i="3"/>
  <c r="BZ87" i="3"/>
  <c r="BT87" i="3"/>
  <c r="BO87" i="3"/>
  <c r="BJ87" i="3"/>
  <c r="BE87" i="3"/>
  <c r="AZ87" i="3"/>
  <c r="AU87" i="3"/>
  <c r="AP87" i="3"/>
  <c r="AK87" i="3"/>
  <c r="AF87" i="3"/>
  <c r="AA87" i="3"/>
  <c r="V87" i="3"/>
  <c r="Q87" i="3"/>
  <c r="F87" i="3"/>
  <c r="E87" i="3"/>
  <c r="G87" i="3" s="1"/>
  <c r="CE86" i="3"/>
  <c r="BZ86" i="3"/>
  <c r="BT86" i="3"/>
  <c r="BO86" i="3"/>
  <c r="BJ86" i="3"/>
  <c r="BE86" i="3"/>
  <c r="AZ86" i="3"/>
  <c r="AU86" i="3"/>
  <c r="AP86" i="3"/>
  <c r="AK86" i="3"/>
  <c r="AF86" i="3"/>
  <c r="AA86" i="3"/>
  <c r="V86" i="3"/>
  <c r="Q86" i="3"/>
  <c r="G86" i="3"/>
  <c r="F86" i="3"/>
  <c r="E86" i="3"/>
  <c r="CE85" i="3"/>
  <c r="BZ85" i="3"/>
  <c r="BT85" i="3"/>
  <c r="BO85" i="3"/>
  <c r="BJ85" i="3"/>
  <c r="BE85" i="3"/>
  <c r="AZ85" i="3"/>
  <c r="AU85" i="3"/>
  <c r="AP85" i="3"/>
  <c r="AK85" i="3"/>
  <c r="AF85" i="3"/>
  <c r="AA85" i="3"/>
  <c r="V85" i="3"/>
  <c r="Q85" i="3"/>
  <c r="G85" i="3"/>
  <c r="F85" i="3"/>
  <c r="E85" i="3"/>
  <c r="CE84" i="3"/>
  <c r="BZ84" i="3"/>
  <c r="BT84" i="3"/>
  <c r="BO84" i="3"/>
  <c r="BJ84" i="3"/>
  <c r="BE84" i="3"/>
  <c r="AZ84" i="3"/>
  <c r="AU84" i="3"/>
  <c r="AP84" i="3"/>
  <c r="AK84" i="3"/>
  <c r="AF84" i="3"/>
  <c r="AA84" i="3"/>
  <c r="V84" i="3"/>
  <c r="Q84" i="3"/>
  <c r="F84" i="3"/>
  <c r="E84" i="3"/>
  <c r="G84" i="3" s="1"/>
  <c r="CE83" i="3"/>
  <c r="BZ83" i="3"/>
  <c r="BT83" i="3"/>
  <c r="BE83" i="3"/>
  <c r="AZ83" i="3"/>
  <c r="AU83" i="3"/>
  <c r="AP83" i="3"/>
  <c r="AK83" i="3"/>
  <c r="AF83" i="3"/>
  <c r="AA83" i="3"/>
  <c r="V83" i="3"/>
  <c r="Q83" i="3"/>
  <c r="G83" i="3"/>
  <c r="F83" i="3"/>
  <c r="E83" i="3"/>
  <c r="CE82" i="3"/>
  <c r="BZ82" i="3"/>
  <c r="BT82" i="3"/>
  <c r="BO82" i="3"/>
  <c r="BJ82" i="3"/>
  <c r="BE82" i="3"/>
  <c r="AZ82" i="3"/>
  <c r="AU82" i="3"/>
  <c r="AP82" i="3"/>
  <c r="AK82" i="3"/>
  <c r="AF82" i="3"/>
  <c r="AA82" i="3"/>
  <c r="V82" i="3"/>
  <c r="Q82" i="3"/>
  <c r="F82" i="3"/>
  <c r="E82" i="3"/>
  <c r="G82" i="3" s="1"/>
  <c r="CE81" i="3"/>
  <c r="BZ81" i="3"/>
  <c r="BT81" i="3"/>
  <c r="BO81" i="3"/>
  <c r="BJ81" i="3"/>
  <c r="BE81" i="3"/>
  <c r="AZ81" i="3"/>
  <c r="AU81" i="3"/>
  <c r="AP81" i="3"/>
  <c r="AK81" i="3"/>
  <c r="AF81" i="3"/>
  <c r="AA81" i="3"/>
  <c r="V81" i="3"/>
  <c r="Q81" i="3"/>
  <c r="F81" i="3"/>
  <c r="E81" i="3"/>
  <c r="G81" i="3" s="1"/>
  <c r="CE80" i="3"/>
  <c r="BZ80" i="3"/>
  <c r="BT80" i="3"/>
  <c r="BO80" i="3"/>
  <c r="BJ80" i="3"/>
  <c r="BE80" i="3"/>
  <c r="AZ80" i="3"/>
  <c r="V80" i="3"/>
  <c r="Q80" i="3"/>
  <c r="F80" i="3"/>
  <c r="E80" i="3"/>
  <c r="G80" i="3" s="1"/>
  <c r="CE79" i="3"/>
  <c r="BZ79" i="3"/>
  <c r="BT79" i="3"/>
  <c r="BO79" i="3"/>
  <c r="BJ79" i="3"/>
  <c r="BE79" i="3"/>
  <c r="AZ79" i="3"/>
  <c r="F79" i="3"/>
  <c r="E79" i="3"/>
  <c r="G79" i="3" s="1"/>
  <c r="CE78" i="3"/>
  <c r="BZ78" i="3"/>
  <c r="BT78" i="3"/>
  <c r="BO78" i="3"/>
  <c r="F78" i="3"/>
  <c r="E78" i="3"/>
  <c r="G78" i="3" s="1"/>
  <c r="CE77" i="3"/>
  <c r="BZ77" i="3"/>
  <c r="BT77" i="3"/>
  <c r="BO77" i="3"/>
  <c r="F77" i="3"/>
  <c r="E77" i="3"/>
  <c r="CE76" i="3"/>
  <c r="BZ76" i="3"/>
  <c r="BT76" i="3"/>
  <c r="G76" i="3"/>
  <c r="F76" i="3"/>
  <c r="E76" i="3"/>
  <c r="CE75" i="3"/>
  <c r="BZ75" i="3"/>
  <c r="BT75" i="3"/>
  <c r="BO75" i="3"/>
  <c r="BJ75" i="3"/>
  <c r="BE75" i="3"/>
  <c r="AZ75" i="3"/>
  <c r="AU75" i="3"/>
  <c r="AP75" i="3"/>
  <c r="AK75" i="3"/>
  <c r="AF75" i="3"/>
  <c r="AA75" i="3"/>
  <c r="V75" i="3"/>
  <c r="Q75" i="3"/>
  <c r="F75" i="3"/>
  <c r="E75" i="3"/>
  <c r="G75" i="3" s="1"/>
  <c r="CE74" i="3"/>
  <c r="BZ74" i="3"/>
  <c r="BT74" i="3"/>
  <c r="BO74" i="3"/>
  <c r="BJ74" i="3"/>
  <c r="BE74" i="3"/>
  <c r="AZ74" i="3"/>
  <c r="AU74" i="3"/>
  <c r="AP74" i="3"/>
  <c r="AK74" i="3"/>
  <c r="AF74" i="3"/>
  <c r="AA74" i="3"/>
  <c r="V74" i="3"/>
  <c r="Q74" i="3"/>
  <c r="F74" i="3"/>
  <c r="E74" i="3"/>
  <c r="G74" i="3" s="1"/>
  <c r="F73" i="3"/>
  <c r="E73" i="3"/>
  <c r="G73" i="3" s="1"/>
  <c r="CE72" i="3"/>
  <c r="BZ72" i="3"/>
  <c r="BT72" i="3"/>
  <c r="F72" i="3"/>
  <c r="E72" i="3"/>
  <c r="CE71" i="3"/>
  <c r="BZ71" i="3"/>
  <c r="BT71" i="3"/>
  <c r="BO71" i="3"/>
  <c r="BJ71" i="3"/>
  <c r="BE71" i="3"/>
  <c r="AZ71" i="3"/>
  <c r="AU71" i="3"/>
  <c r="AP71" i="3"/>
  <c r="AK71" i="3"/>
  <c r="AF71" i="3"/>
  <c r="AA71" i="3"/>
  <c r="V71" i="3"/>
  <c r="Q71" i="3"/>
  <c r="G71" i="3"/>
  <c r="F71" i="3"/>
  <c r="E71" i="3"/>
  <c r="CE70" i="3"/>
  <c r="BZ70" i="3"/>
  <c r="BT70" i="3"/>
  <c r="BE70" i="3"/>
  <c r="AZ70" i="3"/>
  <c r="AU70" i="3"/>
  <c r="AP70" i="3"/>
  <c r="AK70" i="3"/>
  <c r="AF70" i="3"/>
  <c r="AA70" i="3"/>
  <c r="V70" i="3"/>
  <c r="Q70" i="3"/>
  <c r="G70" i="3"/>
  <c r="F70" i="3"/>
  <c r="E70" i="3"/>
  <c r="CE69" i="3"/>
  <c r="BZ69" i="3"/>
  <c r="BT69" i="3"/>
  <c r="BO69" i="3"/>
  <c r="BJ69" i="3"/>
  <c r="BE69" i="3"/>
  <c r="AZ69" i="3"/>
  <c r="AU69" i="3"/>
  <c r="AP69" i="3"/>
  <c r="AK69" i="3"/>
  <c r="AF69" i="3"/>
  <c r="AA69" i="3"/>
  <c r="V69" i="3"/>
  <c r="Q69" i="3"/>
  <c r="G69" i="3"/>
  <c r="F69" i="3"/>
  <c r="E69" i="3"/>
  <c r="CE68" i="3"/>
  <c r="BZ68" i="3"/>
  <c r="BT68" i="3"/>
  <c r="BO68" i="3"/>
  <c r="BJ68" i="3"/>
  <c r="BE68" i="3"/>
  <c r="AZ68" i="3"/>
  <c r="AU68" i="3"/>
  <c r="AP68" i="3"/>
  <c r="AK68" i="3"/>
  <c r="AF68" i="3"/>
  <c r="AA68" i="3"/>
  <c r="V68" i="3"/>
  <c r="Q68" i="3"/>
  <c r="F68" i="3"/>
  <c r="E68" i="3"/>
  <c r="G68" i="3" s="1"/>
  <c r="F67" i="3"/>
  <c r="E67" i="3"/>
  <c r="G67" i="3" s="1"/>
  <c r="CE66" i="3"/>
  <c r="BZ66" i="3"/>
  <c r="BT66" i="3"/>
  <c r="F66" i="3"/>
  <c r="E66" i="3"/>
  <c r="G66" i="3" s="1"/>
  <c r="CE65" i="3"/>
  <c r="BZ65" i="3"/>
  <c r="BT65" i="3"/>
  <c r="BO65" i="3"/>
  <c r="BJ65" i="3"/>
  <c r="BE65" i="3"/>
  <c r="AZ65" i="3"/>
  <c r="AU65" i="3"/>
  <c r="AP65" i="3"/>
  <c r="AK65" i="3"/>
  <c r="AF65" i="3"/>
  <c r="AA65" i="3"/>
  <c r="V65" i="3"/>
  <c r="Q65" i="3"/>
  <c r="F65" i="3"/>
  <c r="E65" i="3"/>
  <c r="CE64" i="3"/>
  <c r="BZ64" i="3"/>
  <c r="BT64" i="3"/>
  <c r="BO64" i="3"/>
  <c r="BJ64" i="3"/>
  <c r="BE64" i="3"/>
  <c r="AZ64" i="3"/>
  <c r="AU64" i="3"/>
  <c r="AP64" i="3"/>
  <c r="AK64" i="3"/>
  <c r="AF64" i="3"/>
  <c r="AA64" i="3"/>
  <c r="V64" i="3"/>
  <c r="Q64" i="3"/>
  <c r="F64" i="3"/>
  <c r="E64" i="3"/>
  <c r="CE63" i="3"/>
  <c r="BZ63" i="3"/>
  <c r="BT63" i="3"/>
  <c r="BO63" i="3"/>
  <c r="BJ63" i="3"/>
  <c r="BE63" i="3"/>
  <c r="AZ63" i="3"/>
  <c r="AU63" i="3"/>
  <c r="AP63" i="3"/>
  <c r="AK63" i="3"/>
  <c r="AF63" i="3"/>
  <c r="AA63" i="3"/>
  <c r="V63" i="3"/>
  <c r="Q63" i="3"/>
  <c r="F63" i="3"/>
  <c r="E63" i="3"/>
  <c r="G63" i="3" s="1"/>
  <c r="CE62" i="3"/>
  <c r="BZ62" i="3"/>
  <c r="BT62" i="3"/>
  <c r="BO62" i="3"/>
  <c r="BJ62" i="3"/>
  <c r="BE62" i="3"/>
  <c r="AZ62" i="3"/>
  <c r="AU62" i="3"/>
  <c r="AP62" i="3"/>
  <c r="AK62" i="3"/>
  <c r="AF62" i="3"/>
  <c r="AA62" i="3"/>
  <c r="V62" i="3"/>
  <c r="Q62" i="3"/>
  <c r="F62" i="3"/>
  <c r="E62" i="3"/>
  <c r="G62" i="3" s="1"/>
  <c r="CE61" i="3"/>
  <c r="BZ61" i="3"/>
  <c r="BT61" i="3"/>
  <c r="BO61" i="3"/>
  <c r="BJ61" i="3"/>
  <c r="BE61" i="3"/>
  <c r="AZ61" i="3"/>
  <c r="AU61" i="3"/>
  <c r="AP61" i="3"/>
  <c r="AK61" i="3"/>
  <c r="AF61" i="3"/>
  <c r="AA61" i="3"/>
  <c r="V61" i="3"/>
  <c r="Q61" i="3"/>
  <c r="G61" i="3"/>
  <c r="F61" i="3"/>
  <c r="E61" i="3"/>
  <c r="CE60" i="3"/>
  <c r="BZ60" i="3"/>
  <c r="BT60" i="3"/>
  <c r="F60" i="3"/>
  <c r="E60" i="3"/>
  <c r="G60" i="3" s="1"/>
  <c r="CE59" i="3"/>
  <c r="BZ59" i="3"/>
  <c r="BT59" i="3"/>
  <c r="BO59" i="3"/>
  <c r="BJ59" i="3"/>
  <c r="BE59" i="3"/>
  <c r="AZ59" i="3"/>
  <c r="AU59" i="3"/>
  <c r="AP59" i="3"/>
  <c r="AK59" i="3"/>
  <c r="AF59" i="3"/>
  <c r="X59" i="3"/>
  <c r="W59" i="3"/>
  <c r="AA59" i="3" s="1"/>
  <c r="S59" i="3"/>
  <c r="R59" i="3"/>
  <c r="V59" i="3" s="1"/>
  <c r="N59" i="3"/>
  <c r="M59" i="3"/>
  <c r="F59" i="3"/>
  <c r="E59" i="3"/>
  <c r="CE58" i="3"/>
  <c r="BZ58" i="3"/>
  <c r="BT58" i="3"/>
  <c r="BO58" i="3"/>
  <c r="BJ58" i="3"/>
  <c r="BE58" i="3"/>
  <c r="AZ58" i="3"/>
  <c r="AU58" i="3"/>
  <c r="AP58" i="3"/>
  <c r="AK58" i="3"/>
  <c r="AF58" i="3"/>
  <c r="AA58" i="3"/>
  <c r="V58" i="3"/>
  <c r="Q58" i="3"/>
  <c r="F58" i="3"/>
  <c r="E58" i="3"/>
  <c r="G58" i="3" s="1"/>
  <c r="CE57" i="3"/>
  <c r="BZ57" i="3"/>
  <c r="BT57" i="3"/>
  <c r="BO57" i="3"/>
  <c r="BJ57" i="3"/>
  <c r="BE57" i="3"/>
  <c r="AZ57" i="3"/>
  <c r="AU57" i="3"/>
  <c r="AP57" i="3"/>
  <c r="AK57" i="3"/>
  <c r="AF57" i="3"/>
  <c r="AA57" i="3"/>
  <c r="V57" i="3"/>
  <c r="Q57" i="3"/>
  <c r="F57" i="3"/>
  <c r="E57" i="3"/>
  <c r="G57" i="3" s="1"/>
  <c r="CE56" i="3"/>
  <c r="BZ56" i="3"/>
  <c r="BT56" i="3"/>
  <c r="BO56" i="3"/>
  <c r="BJ56" i="3"/>
  <c r="BE56" i="3"/>
  <c r="AZ56" i="3"/>
  <c r="AU56" i="3"/>
  <c r="AP56" i="3"/>
  <c r="AK56" i="3"/>
  <c r="AF56" i="3"/>
  <c r="AA56" i="3"/>
  <c r="V56" i="3"/>
  <c r="Q56" i="3"/>
  <c r="G56" i="3"/>
  <c r="F56" i="3"/>
  <c r="E56" i="3"/>
  <c r="CE55" i="3"/>
  <c r="BZ55" i="3"/>
  <c r="BT55" i="3"/>
  <c r="BO55" i="3"/>
  <c r="BJ55" i="3"/>
  <c r="AZ55" i="3"/>
  <c r="AU55" i="3"/>
  <c r="AP55" i="3"/>
  <c r="AK55" i="3"/>
  <c r="AF55" i="3"/>
  <c r="AA55" i="3"/>
  <c r="V55" i="3"/>
  <c r="Q55" i="3"/>
  <c r="F55" i="3"/>
  <c r="E55" i="3"/>
  <c r="CE54" i="3"/>
  <c r="BZ54" i="3"/>
  <c r="BT54" i="3"/>
  <c r="BE54" i="3"/>
  <c r="AZ54" i="3"/>
  <c r="AU54" i="3"/>
  <c r="AP54" i="3"/>
  <c r="AK54" i="3"/>
  <c r="AF54" i="3"/>
  <c r="AA54" i="3"/>
  <c r="V54" i="3"/>
  <c r="Q54" i="3"/>
  <c r="F54" i="3"/>
  <c r="E54" i="3"/>
  <c r="G54" i="3" s="1"/>
  <c r="CE53" i="3"/>
  <c r="BZ53" i="3"/>
  <c r="BT53" i="3"/>
  <c r="BO53" i="3"/>
  <c r="BJ53" i="3"/>
  <c r="BE53" i="3"/>
  <c r="AZ53" i="3"/>
  <c r="AU53" i="3"/>
  <c r="AP53" i="3"/>
  <c r="AK53" i="3"/>
  <c r="AF53" i="3"/>
  <c r="AA53" i="3"/>
  <c r="V53" i="3"/>
  <c r="Q53" i="3"/>
  <c r="G53" i="3"/>
  <c r="F53" i="3"/>
  <c r="E53" i="3"/>
  <c r="CE52" i="3"/>
  <c r="BZ52" i="3"/>
  <c r="BT52" i="3"/>
  <c r="BO52" i="3"/>
  <c r="BJ52" i="3"/>
  <c r="BE52" i="3"/>
  <c r="AZ52" i="3"/>
  <c r="AU52" i="3"/>
  <c r="AP52" i="3"/>
  <c r="AK52" i="3"/>
  <c r="AF52" i="3"/>
  <c r="AA52" i="3"/>
  <c r="V52" i="3"/>
  <c r="Q52" i="3"/>
  <c r="G52" i="3"/>
  <c r="F52" i="3"/>
  <c r="E52" i="3"/>
  <c r="F51" i="3"/>
  <c r="E51" i="3"/>
  <c r="G51" i="3" s="1"/>
  <c r="CE50" i="3"/>
  <c r="BZ50" i="3"/>
  <c r="BT50" i="3"/>
  <c r="BO50" i="3"/>
  <c r="BJ50" i="3"/>
  <c r="BE50" i="3"/>
  <c r="AZ50" i="3"/>
  <c r="AV50" i="3"/>
  <c r="AV102" i="3" s="1"/>
  <c r="AU50" i="3"/>
  <c r="AP50" i="3"/>
  <c r="AK50" i="3"/>
  <c r="AF50" i="3"/>
  <c r="AA50" i="3"/>
  <c r="V50" i="3"/>
  <c r="Q50" i="3"/>
  <c r="F50" i="3"/>
  <c r="E50" i="3"/>
  <c r="G50" i="3" s="1"/>
  <c r="G49" i="3"/>
  <c r="F49" i="3"/>
  <c r="E49" i="3"/>
  <c r="CE48" i="3"/>
  <c r="BZ48" i="3"/>
  <c r="BT48" i="3"/>
  <c r="BO48" i="3"/>
  <c r="BJ48" i="3"/>
  <c r="BE48" i="3"/>
  <c r="AZ48" i="3"/>
  <c r="AU48" i="3"/>
  <c r="AP48" i="3"/>
  <c r="AK48" i="3"/>
  <c r="AF48" i="3"/>
  <c r="AA48" i="3"/>
  <c r="V48" i="3"/>
  <c r="Q48" i="3"/>
  <c r="F48" i="3"/>
  <c r="E48" i="3"/>
  <c r="G48" i="3" s="1"/>
  <c r="CE47" i="3"/>
  <c r="BZ47" i="3"/>
  <c r="BT47" i="3"/>
  <c r="BO47" i="3"/>
  <c r="BJ47" i="3"/>
  <c r="BE47" i="3"/>
  <c r="AZ47" i="3"/>
  <c r="AU47" i="3"/>
  <c r="AP47" i="3"/>
  <c r="AK47" i="3"/>
  <c r="AF47" i="3"/>
  <c r="AA47" i="3"/>
  <c r="V47" i="3"/>
  <c r="Q47" i="3"/>
  <c r="F47" i="3"/>
  <c r="E47" i="3"/>
  <c r="G47" i="3" s="1"/>
  <c r="CE46" i="3"/>
  <c r="BZ46" i="3"/>
  <c r="BT46" i="3"/>
  <c r="BO46" i="3"/>
  <c r="BJ46" i="3"/>
  <c r="BE46" i="3"/>
  <c r="AZ46" i="3"/>
  <c r="AU46" i="3"/>
  <c r="AP46" i="3"/>
  <c r="AK46" i="3"/>
  <c r="AF46" i="3"/>
  <c r="AA46" i="3"/>
  <c r="V46" i="3"/>
  <c r="Q46" i="3"/>
  <c r="F46" i="3"/>
  <c r="E46" i="3"/>
  <c r="CE45" i="3"/>
  <c r="BZ45" i="3"/>
  <c r="BT45" i="3"/>
  <c r="BE45" i="3"/>
  <c r="AZ45" i="3"/>
  <c r="AU45" i="3"/>
  <c r="AP45" i="3"/>
  <c r="AK45" i="3"/>
  <c r="AF45" i="3"/>
  <c r="AA45" i="3"/>
  <c r="V45" i="3"/>
  <c r="Q45" i="3"/>
  <c r="F45" i="3"/>
  <c r="E45" i="3"/>
  <c r="G45" i="3" s="1"/>
  <c r="CE44" i="3"/>
  <c r="BZ44" i="3"/>
  <c r="BT44" i="3"/>
  <c r="BO44" i="3"/>
  <c r="BJ44" i="3"/>
  <c r="BE44" i="3"/>
  <c r="AZ44" i="3"/>
  <c r="AU44" i="3"/>
  <c r="AP44" i="3"/>
  <c r="AK44" i="3"/>
  <c r="AF44" i="3"/>
  <c r="AA44" i="3"/>
  <c r="V44" i="3"/>
  <c r="Q44" i="3"/>
  <c r="G44" i="3"/>
  <c r="F44" i="3"/>
  <c r="E44" i="3"/>
  <c r="CE43" i="3"/>
  <c r="BZ43" i="3"/>
  <c r="BT43" i="3"/>
  <c r="BO43" i="3"/>
  <c r="BJ43" i="3"/>
  <c r="BE43" i="3"/>
  <c r="AZ43" i="3"/>
  <c r="AU43" i="3"/>
  <c r="AP43" i="3"/>
  <c r="AK43" i="3"/>
  <c r="AF43" i="3"/>
  <c r="AA43" i="3"/>
  <c r="V43" i="3"/>
  <c r="Q43" i="3"/>
  <c r="F43" i="3"/>
  <c r="E43" i="3"/>
  <c r="CE42" i="3"/>
  <c r="BZ42" i="3"/>
  <c r="BT42" i="3"/>
  <c r="BO42" i="3"/>
  <c r="BJ42" i="3"/>
  <c r="BE42" i="3"/>
  <c r="AZ42" i="3"/>
  <c r="AU42" i="3"/>
  <c r="AP42" i="3"/>
  <c r="AK42" i="3"/>
  <c r="AF42" i="3"/>
  <c r="AA42" i="3"/>
  <c r="V42" i="3"/>
  <c r="Q42" i="3"/>
  <c r="F42" i="3"/>
  <c r="E42" i="3"/>
  <c r="CE41" i="3"/>
  <c r="BZ41" i="3"/>
  <c r="BT41" i="3"/>
  <c r="BO41" i="3"/>
  <c r="BJ41" i="3"/>
  <c r="BE41" i="3"/>
  <c r="AZ41" i="3"/>
  <c r="AU41" i="3"/>
  <c r="AP41" i="3"/>
  <c r="AK41" i="3"/>
  <c r="AF41" i="3"/>
  <c r="AA41" i="3"/>
  <c r="V41" i="3"/>
  <c r="Q41" i="3"/>
  <c r="F41" i="3"/>
  <c r="E41" i="3"/>
  <c r="G41" i="3" s="1"/>
  <c r="CE40" i="3"/>
  <c r="BZ40" i="3"/>
  <c r="BT40" i="3"/>
  <c r="BO40" i="3"/>
  <c r="BJ40" i="3"/>
  <c r="BE40" i="3"/>
  <c r="AZ40" i="3"/>
  <c r="AU40" i="3"/>
  <c r="AP40" i="3"/>
  <c r="AK40" i="3"/>
  <c r="AF40" i="3"/>
  <c r="AA40" i="3"/>
  <c r="V40" i="3"/>
  <c r="O40" i="3"/>
  <c r="Q40" i="3" s="1"/>
  <c r="F40" i="3"/>
  <c r="E40" i="3"/>
  <c r="CE39" i="3"/>
  <c r="BZ39" i="3"/>
  <c r="BQ39" i="3"/>
  <c r="BT39" i="3" s="1"/>
  <c r="BO39" i="3"/>
  <c r="BJ39" i="3"/>
  <c r="BE39" i="3"/>
  <c r="AZ39" i="3"/>
  <c r="AU39" i="3"/>
  <c r="AP39" i="3"/>
  <c r="AK39" i="3"/>
  <c r="AF39" i="3"/>
  <c r="AA39" i="3"/>
  <c r="V39" i="3"/>
  <c r="Q39" i="3"/>
  <c r="M39" i="3"/>
  <c r="G39" i="3"/>
  <c r="F39" i="3"/>
  <c r="E39" i="3"/>
  <c r="F38" i="3"/>
  <c r="E38" i="3"/>
  <c r="CE37" i="3"/>
  <c r="BZ37" i="3"/>
  <c r="BT37" i="3"/>
  <c r="BO37" i="3"/>
  <c r="BJ37" i="3"/>
  <c r="BE37" i="3"/>
  <c r="AZ37" i="3"/>
  <c r="AU37" i="3"/>
  <c r="AQ37" i="3"/>
  <c r="AP37" i="3"/>
  <c r="AK37" i="3"/>
  <c r="AF37" i="3"/>
  <c r="AA37" i="3"/>
  <c r="V37" i="3"/>
  <c r="Q37" i="3"/>
  <c r="F37" i="3"/>
  <c r="E37" i="3"/>
  <c r="CE36" i="3"/>
  <c r="BZ36" i="3"/>
  <c r="BT36" i="3"/>
  <c r="BO36" i="3"/>
  <c r="BJ36" i="3"/>
  <c r="BE36" i="3"/>
  <c r="AZ36" i="3"/>
  <c r="AU36" i="3"/>
  <c r="AP36" i="3"/>
  <c r="AK36" i="3"/>
  <c r="AF36" i="3"/>
  <c r="AA36" i="3"/>
  <c r="V36" i="3"/>
  <c r="Q36" i="3"/>
  <c r="F36" i="3"/>
  <c r="E36" i="3"/>
  <c r="G36" i="3" s="1"/>
  <c r="CE35" i="3"/>
  <c r="BZ35" i="3"/>
  <c r="BT35" i="3"/>
  <c r="BO35" i="3"/>
  <c r="BJ35" i="3"/>
  <c r="BE35" i="3"/>
  <c r="AZ35" i="3"/>
  <c r="AU35" i="3"/>
  <c r="AP35" i="3"/>
  <c r="AK35" i="3"/>
  <c r="AF35" i="3"/>
  <c r="AA35" i="3"/>
  <c r="V35" i="3"/>
  <c r="Q35" i="3"/>
  <c r="F35" i="3"/>
  <c r="E35" i="3"/>
  <c r="G35" i="3" s="1"/>
  <c r="CE34" i="3"/>
  <c r="BZ34" i="3"/>
  <c r="BT34" i="3"/>
  <c r="BO34" i="3"/>
  <c r="BJ34" i="3"/>
  <c r="BE34" i="3"/>
  <c r="AZ34" i="3"/>
  <c r="AU34" i="3"/>
  <c r="AP34" i="3"/>
  <c r="AK34" i="3"/>
  <c r="AF34" i="3"/>
  <c r="AA34" i="3"/>
  <c r="V34" i="3"/>
  <c r="Q34" i="3"/>
  <c r="F34" i="3"/>
  <c r="E34" i="3"/>
  <c r="G34" i="3" s="1"/>
  <c r="CE33" i="3"/>
  <c r="BZ33" i="3"/>
  <c r="BT33" i="3"/>
  <c r="BO33" i="3"/>
  <c r="BJ33" i="3"/>
  <c r="BE33" i="3"/>
  <c r="AZ33" i="3"/>
  <c r="AU33" i="3"/>
  <c r="AP33" i="3"/>
  <c r="AK33" i="3"/>
  <c r="AF33" i="3"/>
  <c r="AA33" i="3"/>
  <c r="V33" i="3"/>
  <c r="Q33" i="3"/>
  <c r="F33" i="3"/>
  <c r="E33" i="3"/>
  <c r="G33" i="3" s="1"/>
  <c r="CE32" i="3"/>
  <c r="BZ32" i="3"/>
  <c r="BT32" i="3"/>
  <c r="BO32" i="3"/>
  <c r="BJ32" i="3"/>
  <c r="BE32" i="3"/>
  <c r="AZ32" i="3"/>
  <c r="AU32" i="3"/>
  <c r="AP32" i="3"/>
  <c r="AK32" i="3"/>
  <c r="AF32" i="3"/>
  <c r="AA32" i="3"/>
  <c r="V32" i="3"/>
  <c r="Q32" i="3"/>
  <c r="F32" i="3"/>
  <c r="E32" i="3"/>
  <c r="CE31" i="3"/>
  <c r="BZ31" i="3"/>
  <c r="BT31" i="3"/>
  <c r="BO31" i="3"/>
  <c r="BJ31" i="3"/>
  <c r="BE31" i="3"/>
  <c r="AZ31" i="3"/>
  <c r="G31" i="3"/>
  <c r="F31" i="3"/>
  <c r="E31" i="3"/>
  <c r="CE30" i="3"/>
  <c r="BZ30" i="3"/>
  <c r="BT30" i="3"/>
  <c r="BE30" i="3"/>
  <c r="AZ30" i="3"/>
  <c r="AU30" i="3"/>
  <c r="AP30" i="3"/>
  <c r="AK30" i="3"/>
  <c r="AF30" i="3"/>
  <c r="AA30" i="3"/>
  <c r="V30" i="3"/>
  <c r="Q30" i="3"/>
  <c r="F30" i="3"/>
  <c r="E30" i="3"/>
  <c r="G30" i="3" s="1"/>
  <c r="CE29" i="3"/>
  <c r="BZ29" i="3"/>
  <c r="BT29" i="3"/>
  <c r="BO29" i="3"/>
  <c r="BJ29" i="3"/>
  <c r="BE29" i="3"/>
  <c r="AZ29" i="3"/>
  <c r="AU29" i="3"/>
  <c r="AP29" i="3"/>
  <c r="AK29" i="3"/>
  <c r="AF29" i="3"/>
  <c r="AA29" i="3"/>
  <c r="V29" i="3"/>
  <c r="Q29" i="3"/>
  <c r="G29" i="3"/>
  <c r="F29" i="3"/>
  <c r="E29" i="3"/>
  <c r="CE28" i="3"/>
  <c r="BZ28" i="3"/>
  <c r="BT28" i="3"/>
  <c r="BO28" i="3"/>
  <c r="BJ28" i="3"/>
  <c r="BE28" i="3"/>
  <c r="AZ28" i="3"/>
  <c r="AU28" i="3"/>
  <c r="AP28" i="3"/>
  <c r="AK28" i="3"/>
  <c r="AF28" i="3"/>
  <c r="AA28" i="3"/>
  <c r="V28" i="3"/>
  <c r="Q28" i="3"/>
  <c r="G28" i="3"/>
  <c r="F28" i="3"/>
  <c r="E28" i="3"/>
  <c r="CE27" i="3"/>
  <c r="BZ27" i="3"/>
  <c r="BT27" i="3"/>
  <c r="BO27" i="3"/>
  <c r="BJ27" i="3"/>
  <c r="BE27" i="3"/>
  <c r="AZ27" i="3"/>
  <c r="AU27" i="3"/>
  <c r="AP27" i="3"/>
  <c r="AK27" i="3"/>
  <c r="AF27" i="3"/>
  <c r="AA27" i="3"/>
  <c r="V27" i="3"/>
  <c r="Q27" i="3"/>
  <c r="F27" i="3"/>
  <c r="E27" i="3"/>
  <c r="G27" i="3" s="1"/>
  <c r="CE26" i="3"/>
  <c r="BZ26" i="3"/>
  <c r="BT26" i="3"/>
  <c r="BO26" i="3"/>
  <c r="BJ26" i="3"/>
  <c r="BE26" i="3"/>
  <c r="AZ26" i="3"/>
  <c r="AU26" i="3"/>
  <c r="F26" i="3"/>
  <c r="E26" i="3"/>
  <c r="G26" i="3" s="1"/>
  <c r="CE25" i="3"/>
  <c r="BZ25" i="3"/>
  <c r="BT25" i="3"/>
  <c r="BO25" i="3"/>
  <c r="BJ25" i="3"/>
  <c r="BE25" i="3"/>
  <c r="AZ25" i="3"/>
  <c r="AU25" i="3"/>
  <c r="AP25" i="3"/>
  <c r="AK25" i="3"/>
  <c r="AF25" i="3"/>
  <c r="AA25" i="3"/>
  <c r="V25" i="3"/>
  <c r="Q25" i="3"/>
  <c r="F25" i="3"/>
  <c r="E25" i="3"/>
  <c r="G25" i="3" s="1"/>
  <c r="CE24" i="3"/>
  <c r="BZ24" i="3"/>
  <c r="BT24" i="3"/>
  <c r="BO24" i="3"/>
  <c r="BJ24" i="3"/>
  <c r="BE24" i="3"/>
  <c r="AZ24" i="3"/>
  <c r="AU24" i="3"/>
  <c r="AP24" i="3"/>
  <c r="AK24" i="3"/>
  <c r="AF24" i="3"/>
  <c r="AA24" i="3"/>
  <c r="V24" i="3"/>
  <c r="Q24" i="3"/>
  <c r="F24" i="3"/>
  <c r="E24" i="3"/>
  <c r="G24" i="3" s="1"/>
  <c r="CE23" i="3"/>
  <c r="BZ23" i="3"/>
  <c r="BT23" i="3"/>
  <c r="BO23" i="3"/>
  <c r="BJ23" i="3"/>
  <c r="BE23" i="3"/>
  <c r="AZ23" i="3"/>
  <c r="AU23" i="3"/>
  <c r="AP23" i="3"/>
  <c r="AK23" i="3"/>
  <c r="AF23" i="3"/>
  <c r="AA23" i="3"/>
  <c r="V23" i="3"/>
  <c r="Q23" i="3"/>
  <c r="F23" i="3"/>
  <c r="E23" i="3"/>
  <c r="CE22" i="3"/>
  <c r="BZ22" i="3"/>
  <c r="BT22" i="3"/>
  <c r="BO22" i="3"/>
  <c r="BJ22" i="3"/>
  <c r="BE22" i="3"/>
  <c r="AZ22" i="3"/>
  <c r="AU22" i="3"/>
  <c r="AP22" i="3"/>
  <c r="AK22" i="3"/>
  <c r="AF22" i="3"/>
  <c r="AA22" i="3"/>
  <c r="V22" i="3"/>
  <c r="Q22" i="3"/>
  <c r="F22" i="3"/>
  <c r="E22" i="3"/>
  <c r="CE21" i="3"/>
  <c r="BZ21" i="3"/>
  <c r="BT21" i="3"/>
  <c r="BO21" i="3"/>
  <c r="BJ21" i="3"/>
  <c r="BE21" i="3"/>
  <c r="AZ21" i="3"/>
  <c r="AU21" i="3"/>
  <c r="AP21" i="3"/>
  <c r="AK21" i="3"/>
  <c r="AF21" i="3"/>
  <c r="AA21" i="3"/>
  <c r="V21" i="3"/>
  <c r="Q21" i="3"/>
  <c r="F21" i="3"/>
  <c r="E21" i="3"/>
  <c r="G21" i="3" s="1"/>
  <c r="CE20" i="3"/>
  <c r="BZ20" i="3"/>
  <c r="F20" i="3"/>
  <c r="E20" i="3"/>
  <c r="G20" i="3" s="1"/>
  <c r="CE19" i="3"/>
  <c r="BZ19" i="3"/>
  <c r="BT19" i="3"/>
  <c r="BO19" i="3"/>
  <c r="BJ19" i="3"/>
  <c r="BE19" i="3"/>
  <c r="AZ19" i="3"/>
  <c r="AU19" i="3"/>
  <c r="AP19" i="3"/>
  <c r="AK19" i="3"/>
  <c r="AF19" i="3"/>
  <c r="AA19" i="3"/>
  <c r="V19" i="3"/>
  <c r="Q19" i="3"/>
  <c r="G19" i="3"/>
  <c r="F19" i="3"/>
  <c r="E19" i="3"/>
  <c r="CE18" i="3"/>
  <c r="BZ18" i="3"/>
  <c r="BT18" i="3"/>
  <c r="F18" i="3"/>
  <c r="E18" i="3"/>
  <c r="G18" i="3" s="1"/>
  <c r="CE17" i="3"/>
  <c r="BZ17" i="3"/>
  <c r="BT17" i="3"/>
  <c r="F17" i="3"/>
  <c r="E17" i="3"/>
  <c r="CE16" i="3"/>
  <c r="BZ16" i="3"/>
  <c r="BT16" i="3"/>
  <c r="BO16" i="3"/>
  <c r="BJ16" i="3"/>
  <c r="BE16" i="3"/>
  <c r="AZ16" i="3"/>
  <c r="AU16" i="3"/>
  <c r="AN16" i="3"/>
  <c r="AM16" i="3"/>
  <c r="AL16" i="3"/>
  <c r="AI16" i="3"/>
  <c r="AH16" i="3"/>
  <c r="AG16" i="3"/>
  <c r="AD16" i="3"/>
  <c r="AD102" i="3" s="1"/>
  <c r="AC16" i="3"/>
  <c r="AC102" i="3" s="1"/>
  <c r="AB16" i="3"/>
  <c r="AB102" i="3" s="1"/>
  <c r="Y16" i="3"/>
  <c r="Y102" i="3" s="1"/>
  <c r="X16" i="3"/>
  <c r="X102" i="3" s="1"/>
  <c r="W16" i="3"/>
  <c r="W102" i="3" s="1"/>
  <c r="T16" i="3"/>
  <c r="T102" i="3" s="1"/>
  <c r="S16" i="3"/>
  <c r="R16" i="3"/>
  <c r="O16" i="3"/>
  <c r="N16" i="3"/>
  <c r="M16" i="3"/>
  <c r="Q16" i="3" s="1"/>
  <c r="F16" i="3"/>
  <c r="E16" i="3"/>
  <c r="G16" i="3" s="1"/>
  <c r="CE15" i="3"/>
  <c r="BZ15" i="3"/>
  <c r="BT15" i="3"/>
  <c r="BO15" i="3"/>
  <c r="BJ15" i="3"/>
  <c r="BE15" i="3"/>
  <c r="AZ15" i="3"/>
  <c r="AU15" i="3"/>
  <c r="AP15" i="3"/>
  <c r="AK15" i="3"/>
  <c r="AF15" i="3"/>
  <c r="AA15" i="3"/>
  <c r="V15" i="3"/>
  <c r="Q15" i="3"/>
  <c r="F15" i="3"/>
  <c r="E15" i="3"/>
  <c r="G15" i="3" s="1"/>
  <c r="CE14" i="3"/>
  <c r="BZ14" i="3"/>
  <c r="BT14" i="3"/>
  <c r="BO14" i="3"/>
  <c r="BJ14" i="3"/>
  <c r="BE14" i="3"/>
  <c r="AZ14" i="3"/>
  <c r="AU14" i="3"/>
  <c r="AP14" i="3"/>
  <c r="AK14" i="3"/>
  <c r="AF14" i="3"/>
  <c r="AA14" i="3"/>
  <c r="V14" i="3"/>
  <c r="Q14" i="3"/>
  <c r="G14" i="3"/>
  <c r="F14" i="3"/>
  <c r="E14" i="3"/>
  <c r="CE13" i="3"/>
  <c r="BZ13" i="3"/>
  <c r="BT13" i="3"/>
  <c r="BO13" i="3"/>
  <c r="BJ13" i="3"/>
  <c r="BE13" i="3"/>
  <c r="AZ13" i="3"/>
  <c r="AU13" i="3"/>
  <c r="AP13" i="3"/>
  <c r="AK13" i="3"/>
  <c r="AF13" i="3"/>
  <c r="AA13" i="3"/>
  <c r="V13" i="3"/>
  <c r="Q13" i="3"/>
  <c r="F13" i="3"/>
  <c r="E13" i="3"/>
  <c r="CE12" i="3"/>
  <c r="BZ12" i="3"/>
  <c r="BT12" i="3"/>
  <c r="BO12" i="3"/>
  <c r="BJ12" i="3"/>
  <c r="BE12" i="3"/>
  <c r="AZ12" i="3"/>
  <c r="AU12" i="3"/>
  <c r="AP12" i="3"/>
  <c r="AK12" i="3"/>
  <c r="AF12" i="3"/>
  <c r="AA12" i="3"/>
  <c r="V12" i="3"/>
  <c r="Q12" i="3"/>
  <c r="F12" i="3"/>
  <c r="E12" i="3"/>
  <c r="CE11" i="3"/>
  <c r="BZ11" i="3"/>
  <c r="BT11" i="3"/>
  <c r="BO11" i="3"/>
  <c r="BJ11" i="3"/>
  <c r="BE11" i="3"/>
  <c r="AZ11" i="3"/>
  <c r="AU11" i="3"/>
  <c r="AP11" i="3"/>
  <c r="AK11" i="3"/>
  <c r="AF11" i="3"/>
  <c r="AA11" i="3"/>
  <c r="V11" i="3"/>
  <c r="Q11" i="3"/>
  <c r="F11" i="3"/>
  <c r="E11" i="3"/>
  <c r="CE10" i="3"/>
  <c r="BZ10" i="3"/>
  <c r="BT10" i="3"/>
  <c r="F10" i="3"/>
  <c r="E10" i="3"/>
  <c r="G10" i="3" s="1"/>
  <c r="CE9" i="3"/>
  <c r="BZ9" i="3"/>
  <c r="BT9" i="3"/>
  <c r="BO9" i="3"/>
  <c r="BJ9" i="3"/>
  <c r="BE9" i="3"/>
  <c r="AZ9" i="3"/>
  <c r="AU9" i="3"/>
  <c r="AP9" i="3"/>
  <c r="AK9" i="3"/>
  <c r="AF9" i="3"/>
  <c r="AA9" i="3"/>
  <c r="V9" i="3"/>
  <c r="Q9" i="3"/>
  <c r="F9" i="3"/>
  <c r="E9" i="3"/>
  <c r="G9" i="3" s="1"/>
  <c r="CE8" i="3"/>
  <c r="BZ8" i="3"/>
  <c r="BT8" i="3"/>
  <c r="BE8" i="3"/>
  <c r="AZ8" i="3"/>
  <c r="AU8" i="3"/>
  <c r="AP8" i="3"/>
  <c r="AK8" i="3"/>
  <c r="AF8" i="3"/>
  <c r="AA8" i="3"/>
  <c r="V8" i="3"/>
  <c r="Q8" i="3"/>
  <c r="F8" i="3"/>
  <c r="E8" i="3"/>
  <c r="G8" i="3" s="1"/>
  <c r="CE7" i="3"/>
  <c r="BZ7" i="3"/>
  <c r="BT7" i="3"/>
  <c r="BO7" i="3"/>
  <c r="BJ7" i="3"/>
  <c r="BE7" i="3"/>
  <c r="AZ7" i="3"/>
  <c r="AU7" i="3"/>
  <c r="AN7" i="3"/>
  <c r="AM7" i="3"/>
  <c r="AL7" i="3"/>
  <c r="AP7" i="3" s="1"/>
  <c r="AK7" i="3"/>
  <c r="AI7" i="3"/>
  <c r="AH7" i="3"/>
  <c r="AG7" i="3"/>
  <c r="AD7" i="3"/>
  <c r="AC7" i="3"/>
  <c r="AB7" i="3"/>
  <c r="AF7" i="3" s="1"/>
  <c r="Y7" i="3"/>
  <c r="AA7" i="3" s="1"/>
  <c r="X7" i="3"/>
  <c r="W7" i="3"/>
  <c r="T7" i="3"/>
  <c r="S7" i="3"/>
  <c r="R7" i="3"/>
  <c r="V7" i="3" s="1"/>
  <c r="O7" i="3"/>
  <c r="N7" i="3"/>
  <c r="Q7" i="3" s="1"/>
  <c r="M7" i="3"/>
  <c r="F7" i="3"/>
  <c r="E7" i="3"/>
  <c r="G7" i="3" s="1"/>
  <c r="CE6" i="3"/>
  <c r="BZ6" i="3"/>
  <c r="BT6" i="3"/>
  <c r="BM6" i="3"/>
  <c r="BM102" i="3" s="1"/>
  <c r="BJ6" i="3"/>
  <c r="BE6" i="3"/>
  <c r="AZ6" i="3"/>
  <c r="AU6" i="3"/>
  <c r="AP6" i="3"/>
  <c r="AK6" i="3"/>
  <c r="AF6" i="3"/>
  <c r="AA6" i="3"/>
  <c r="V6" i="3"/>
  <c r="Q6" i="3"/>
  <c r="F6" i="3"/>
  <c r="E6" i="3"/>
  <c r="AP16" i="3" l="1"/>
  <c r="N102" i="3"/>
  <c r="G38" i="3"/>
  <c r="AZ102" i="3"/>
  <c r="AG102" i="3"/>
  <c r="O102" i="3"/>
  <c r="G77" i="3"/>
  <c r="BT91" i="3"/>
  <c r="G65" i="3"/>
  <c r="BE102" i="3"/>
  <c r="AH102" i="3"/>
  <c r="R102" i="3"/>
  <c r="AI102" i="3"/>
  <c r="G12" i="3"/>
  <c r="G13" i="3"/>
  <c r="V16" i="3"/>
  <c r="AK16" i="3"/>
  <c r="G42" i="3"/>
  <c r="Q59" i="3"/>
  <c r="Q102" i="3" s="1"/>
  <c r="CE102" i="3"/>
  <c r="G32" i="3"/>
  <c r="AP94" i="3"/>
  <c r="M102" i="3"/>
  <c r="CJ102" i="3"/>
  <c r="BO102" i="3"/>
  <c r="AK102" i="3"/>
  <c r="V102" i="3"/>
  <c r="G11" i="3"/>
  <c r="BO6" i="3"/>
  <c r="AA16" i="3"/>
  <c r="AA102" i="3" s="1"/>
  <c r="G37" i="3"/>
  <c r="S102" i="3"/>
  <c r="BQ102" i="3"/>
  <c r="BT102" i="3" s="1"/>
  <c r="AF16" i="3"/>
  <c r="AF102" i="3" s="1"/>
  <c r="G22" i="3"/>
  <c r="G6" i="3"/>
  <c r="G23" i="3"/>
  <c r="G55" i="3"/>
  <c r="G98" i="3"/>
  <c r="G43" i="3"/>
  <c r="G59" i="3"/>
  <c r="G64" i="3"/>
  <c r="G40" i="3"/>
  <c r="G72" i="3"/>
  <c r="G17" i="3"/>
  <c r="G46" i="3"/>
  <c r="CI102" i="2" l="1"/>
  <c r="CH102" i="2"/>
  <c r="CG102" i="2"/>
  <c r="CF102" i="2"/>
  <c r="CJ102" i="2" s="1"/>
  <c r="CJ101" i="2"/>
  <c r="CJ100" i="2"/>
  <c r="CJ99" i="2"/>
  <c r="CJ98" i="2"/>
  <c r="CJ97" i="2"/>
  <c r="CJ96" i="2"/>
  <c r="CJ95" i="2"/>
  <c r="CJ94" i="2"/>
  <c r="CJ92" i="2"/>
  <c r="CJ91" i="2"/>
  <c r="CJ90" i="2"/>
  <c r="CJ89" i="2"/>
  <c r="CJ88" i="2"/>
  <c r="CJ87" i="2"/>
  <c r="CJ86" i="2"/>
  <c r="CJ85" i="2"/>
  <c r="CJ84" i="2"/>
  <c r="CJ83" i="2"/>
  <c r="CJ82" i="2"/>
  <c r="CJ81" i="2"/>
  <c r="CJ80" i="2"/>
  <c r="CJ79" i="2"/>
  <c r="CJ78" i="2"/>
  <c r="CJ77" i="2"/>
  <c r="CJ76" i="2"/>
  <c r="CJ75" i="2"/>
  <c r="CJ74" i="2"/>
  <c r="CJ72" i="2"/>
  <c r="CJ71" i="2"/>
  <c r="CJ70" i="2"/>
  <c r="CJ69" i="2"/>
  <c r="CJ68" i="2"/>
  <c r="CJ66" i="2"/>
  <c r="CJ65" i="2"/>
  <c r="CJ64" i="2"/>
  <c r="CJ63" i="2"/>
  <c r="CJ62" i="2"/>
  <c r="CJ61" i="2"/>
  <c r="CJ60" i="2"/>
  <c r="CJ59" i="2"/>
  <c r="CJ58" i="2"/>
  <c r="CJ57" i="2"/>
  <c r="CJ56" i="2"/>
  <c r="CJ55" i="2"/>
  <c r="CJ54" i="2"/>
  <c r="CJ53" i="2"/>
  <c r="CJ52" i="2"/>
  <c r="CJ50" i="2"/>
  <c r="CJ48" i="2"/>
  <c r="CJ47" i="2"/>
  <c r="CJ46" i="2"/>
  <c r="CJ45" i="2"/>
  <c r="CJ44" i="2"/>
  <c r="CJ43" i="2"/>
  <c r="CJ42" i="2"/>
  <c r="CJ41" i="2"/>
  <c r="CJ40" i="2"/>
  <c r="CJ39" i="2"/>
  <c r="CJ37" i="2"/>
  <c r="CJ36" i="2"/>
  <c r="CJ35" i="2"/>
  <c r="CJ34" i="2"/>
  <c r="CJ33" i="2"/>
  <c r="CJ32" i="2"/>
  <c r="CJ31" i="2"/>
  <c r="CJ30" i="2"/>
  <c r="CJ29" i="2"/>
  <c r="CJ28" i="2"/>
  <c r="CJ27" i="2"/>
  <c r="CJ26" i="2"/>
  <c r="CJ25" i="2"/>
  <c r="CJ24" i="2"/>
  <c r="CJ23" i="2"/>
  <c r="CJ22" i="2"/>
  <c r="CJ21" i="2"/>
  <c r="CJ20" i="2"/>
  <c r="CJ19" i="2"/>
  <c r="CJ18" i="2"/>
  <c r="CJ17" i="2"/>
  <c r="CJ16" i="2"/>
  <c r="CJ15" i="2"/>
  <c r="CJ14" i="2"/>
  <c r="CJ13" i="2"/>
  <c r="CJ12" i="2"/>
  <c r="CJ11" i="2"/>
  <c r="CJ10" i="2"/>
  <c r="CJ9" i="2"/>
  <c r="CJ8" i="2"/>
  <c r="CJ7" i="2"/>
  <c r="CJ6" i="2"/>
  <c r="F105" i="2"/>
  <c r="BE104" i="2"/>
  <c r="AZ104" i="2"/>
  <c r="AU104" i="2"/>
  <c r="F104" i="2"/>
  <c r="BE103" i="2"/>
  <c r="AZ103" i="2"/>
  <c r="F103" i="2"/>
  <c r="CD102" i="2"/>
  <c r="CC102" i="2"/>
  <c r="CB102" i="2"/>
  <c r="CA102" i="2"/>
  <c r="CE102" i="2" s="1"/>
  <c r="BZ102" i="2"/>
  <c r="BY102" i="2"/>
  <c r="BX102" i="2"/>
  <c r="BW102" i="2"/>
  <c r="BV102" i="2"/>
  <c r="BU102" i="2"/>
  <c r="BS102" i="2"/>
  <c r="BR102" i="2"/>
  <c r="BN102" i="2"/>
  <c r="BL102" i="2"/>
  <c r="BK102" i="2"/>
  <c r="BJ102" i="2"/>
  <c r="BI102" i="2"/>
  <c r="BH102" i="2"/>
  <c r="BG102" i="2"/>
  <c r="BF102" i="2"/>
  <c r="BD102" i="2"/>
  <c r="BC102" i="2"/>
  <c r="BB102" i="2"/>
  <c r="BA102" i="2"/>
  <c r="AY102" i="2"/>
  <c r="AX102" i="2"/>
  <c r="AW102" i="2"/>
  <c r="AJ102" i="2"/>
  <c r="AE102" i="2"/>
  <c r="AB102" i="2"/>
  <c r="Z102" i="2"/>
  <c r="U102" i="2"/>
  <c r="T102" i="2"/>
  <c r="P102" i="2"/>
  <c r="F102" i="2"/>
  <c r="CE101" i="2"/>
  <c r="BZ101" i="2"/>
  <c r="BT101" i="2"/>
  <c r="BO101" i="2"/>
  <c r="BE101" i="2"/>
  <c r="AZ101" i="2"/>
  <c r="AU101" i="2"/>
  <c r="AP101" i="2"/>
  <c r="AK101" i="2"/>
  <c r="AF101" i="2"/>
  <c r="AA101" i="2"/>
  <c r="V101" i="2"/>
  <c r="Q101" i="2"/>
  <c r="F101" i="2"/>
  <c r="E101" i="2"/>
  <c r="G101" i="2" s="1"/>
  <c r="CE100" i="2"/>
  <c r="BZ100" i="2"/>
  <c r="BO100" i="2"/>
  <c r="BE100" i="2"/>
  <c r="AZ100" i="2"/>
  <c r="AU100" i="2"/>
  <c r="AP100" i="2"/>
  <c r="AK100" i="2"/>
  <c r="AF100" i="2"/>
  <c r="AA100" i="2"/>
  <c r="V100" i="2"/>
  <c r="Q100" i="2"/>
  <c r="F100" i="2"/>
  <c r="E100" i="2"/>
  <c r="G100" i="2" s="1"/>
  <c r="CE99" i="2"/>
  <c r="BZ99" i="2"/>
  <c r="BT99" i="2"/>
  <c r="BO99" i="2"/>
  <c r="BJ99" i="2"/>
  <c r="BE99" i="2"/>
  <c r="AZ99" i="2"/>
  <c r="AU99" i="2"/>
  <c r="AP99" i="2"/>
  <c r="AK99" i="2"/>
  <c r="AF99" i="2"/>
  <c r="AA99" i="2"/>
  <c r="V99" i="2"/>
  <c r="Q99" i="2"/>
  <c r="F99" i="2"/>
  <c r="E99" i="2"/>
  <c r="G99" i="2" s="1"/>
  <c r="CE98" i="2"/>
  <c r="BZ98" i="2"/>
  <c r="BT98" i="2"/>
  <c r="BO98" i="2"/>
  <c r="BJ98" i="2"/>
  <c r="BE98" i="2"/>
  <c r="AZ98" i="2"/>
  <c r="AU98" i="2"/>
  <c r="AP98" i="2"/>
  <c r="AK98" i="2"/>
  <c r="AF98" i="2"/>
  <c r="AA98" i="2"/>
  <c r="V98" i="2"/>
  <c r="Q98" i="2"/>
  <c r="F98" i="2"/>
  <c r="E98" i="2"/>
  <c r="CE97" i="2"/>
  <c r="BZ97" i="2"/>
  <c r="BT97" i="2"/>
  <c r="BO97" i="2"/>
  <c r="BJ97" i="2"/>
  <c r="BE97" i="2"/>
  <c r="AZ97" i="2"/>
  <c r="AU97" i="2"/>
  <c r="AQ97" i="2"/>
  <c r="AP97" i="2"/>
  <c r="AK97" i="2"/>
  <c r="AF97" i="2"/>
  <c r="AA97" i="2"/>
  <c r="V97" i="2"/>
  <c r="Q97" i="2"/>
  <c r="O97" i="2"/>
  <c r="N97" i="2"/>
  <c r="F97" i="2"/>
  <c r="E97" i="2"/>
  <c r="G97" i="2" s="1"/>
  <c r="CE96" i="2"/>
  <c r="BZ96" i="2"/>
  <c r="BT96" i="2"/>
  <c r="BO96" i="2"/>
  <c r="BJ96" i="2"/>
  <c r="BE96" i="2"/>
  <c r="AZ96" i="2"/>
  <c r="AU96" i="2"/>
  <c r="AP96" i="2"/>
  <c r="AK96" i="2"/>
  <c r="AF96" i="2"/>
  <c r="AA96" i="2"/>
  <c r="V96" i="2"/>
  <c r="Q96" i="2"/>
  <c r="F96" i="2"/>
  <c r="E96" i="2"/>
  <c r="G96" i="2" s="1"/>
  <c r="CE95" i="2"/>
  <c r="BZ95" i="2"/>
  <c r="BT95" i="2"/>
  <c r="F95" i="2"/>
  <c r="E95" i="2"/>
  <c r="G95" i="2" s="1"/>
  <c r="CE94" i="2"/>
  <c r="BZ94" i="2"/>
  <c r="BT94" i="2"/>
  <c r="BO94" i="2"/>
  <c r="BJ94" i="2"/>
  <c r="BE94" i="2"/>
  <c r="AZ94" i="2"/>
  <c r="AU94" i="2"/>
  <c r="AM94" i="2"/>
  <c r="AL94" i="2"/>
  <c r="AP94" i="2" s="1"/>
  <c r="AK94" i="2"/>
  <c r="AH94" i="2"/>
  <c r="AG94" i="2"/>
  <c r="AC94" i="2"/>
  <c r="AB94" i="2"/>
  <c r="AF94" i="2" s="1"/>
  <c r="X94" i="2"/>
  <c r="AA94" i="2" s="1"/>
  <c r="V94" i="2"/>
  <c r="S94" i="2"/>
  <c r="R94" i="2"/>
  <c r="O94" i="2"/>
  <c r="N94" i="2"/>
  <c r="M94" i="2"/>
  <c r="Q94" i="2" s="1"/>
  <c r="G94" i="2"/>
  <c r="F94" i="2"/>
  <c r="E94" i="2"/>
  <c r="F93" i="2"/>
  <c r="E93" i="2"/>
  <c r="G93" i="2" s="1"/>
  <c r="CE92" i="2"/>
  <c r="BZ92" i="2"/>
  <c r="BT92" i="2"/>
  <c r="BO92" i="2"/>
  <c r="BJ92" i="2"/>
  <c r="BE92" i="2"/>
  <c r="AZ92" i="2"/>
  <c r="AU92" i="2"/>
  <c r="AP92" i="2"/>
  <c r="AK92" i="2"/>
  <c r="AF92" i="2"/>
  <c r="AA92" i="2"/>
  <c r="V92" i="2"/>
  <c r="Q92" i="2"/>
  <c r="F92" i="2"/>
  <c r="E92" i="2"/>
  <c r="G92" i="2" s="1"/>
  <c r="CE91" i="2"/>
  <c r="BZ91" i="2"/>
  <c r="BT91" i="2"/>
  <c r="BP91" i="2"/>
  <c r="BP102" i="2" s="1"/>
  <c r="F91" i="2"/>
  <c r="E91" i="2"/>
  <c r="G91" i="2" s="1"/>
  <c r="CE90" i="2"/>
  <c r="BZ90" i="2"/>
  <c r="BT90" i="2"/>
  <c r="BO90" i="2"/>
  <c r="BJ90" i="2"/>
  <c r="BE90" i="2"/>
  <c r="AZ90" i="2"/>
  <c r="AU90" i="2"/>
  <c r="AP90" i="2"/>
  <c r="AK90" i="2"/>
  <c r="AF90" i="2"/>
  <c r="AA90" i="2"/>
  <c r="V90" i="2"/>
  <c r="Q90" i="2"/>
  <c r="G90" i="2"/>
  <c r="F90" i="2"/>
  <c r="E90" i="2"/>
  <c r="CE89" i="2"/>
  <c r="BZ89" i="2"/>
  <c r="BT89" i="2"/>
  <c r="BO89" i="2"/>
  <c r="BJ89" i="2"/>
  <c r="BE89" i="2"/>
  <c r="AZ89" i="2"/>
  <c r="AU89" i="2"/>
  <c r="AP89" i="2"/>
  <c r="AK89" i="2"/>
  <c r="AF89" i="2"/>
  <c r="AA89" i="2"/>
  <c r="V89" i="2"/>
  <c r="Q89" i="2"/>
  <c r="G89" i="2"/>
  <c r="F89" i="2"/>
  <c r="E89" i="2"/>
  <c r="CE88" i="2"/>
  <c r="BZ88" i="2"/>
  <c r="BT88" i="2"/>
  <c r="BO88" i="2"/>
  <c r="BJ88" i="2"/>
  <c r="BE88" i="2"/>
  <c r="AZ88" i="2"/>
  <c r="AU88" i="2"/>
  <c r="AP88" i="2"/>
  <c r="AK88" i="2"/>
  <c r="AF88" i="2"/>
  <c r="AA88" i="2"/>
  <c r="V88" i="2"/>
  <c r="Q88" i="2"/>
  <c r="F88" i="2"/>
  <c r="E88" i="2"/>
  <c r="G88" i="2" s="1"/>
  <c r="CE87" i="2"/>
  <c r="BZ87" i="2"/>
  <c r="BT87" i="2"/>
  <c r="BO87" i="2"/>
  <c r="BJ87" i="2"/>
  <c r="BE87" i="2"/>
  <c r="AZ87" i="2"/>
  <c r="AU87" i="2"/>
  <c r="AP87" i="2"/>
  <c r="AK87" i="2"/>
  <c r="AF87" i="2"/>
  <c r="AA87" i="2"/>
  <c r="V87" i="2"/>
  <c r="Q87" i="2"/>
  <c r="F87" i="2"/>
  <c r="E87" i="2"/>
  <c r="G87" i="2" s="1"/>
  <c r="CE86" i="2"/>
  <c r="BZ86" i="2"/>
  <c r="BT86" i="2"/>
  <c r="BO86" i="2"/>
  <c r="BJ86" i="2"/>
  <c r="BE86" i="2"/>
  <c r="AZ86" i="2"/>
  <c r="AU86" i="2"/>
  <c r="AP86" i="2"/>
  <c r="AK86" i="2"/>
  <c r="AF86" i="2"/>
  <c r="AA86" i="2"/>
  <c r="V86" i="2"/>
  <c r="Q86" i="2"/>
  <c r="G86" i="2"/>
  <c r="F86" i="2"/>
  <c r="E86" i="2"/>
  <c r="CE85" i="2"/>
  <c r="BZ85" i="2"/>
  <c r="BT85" i="2"/>
  <c r="BO85" i="2"/>
  <c r="BJ85" i="2"/>
  <c r="BE85" i="2"/>
  <c r="AZ85" i="2"/>
  <c r="AU85" i="2"/>
  <c r="AP85" i="2"/>
  <c r="AK85" i="2"/>
  <c r="AF85" i="2"/>
  <c r="AA85" i="2"/>
  <c r="V85" i="2"/>
  <c r="Q85" i="2"/>
  <c r="G85" i="2"/>
  <c r="F85" i="2"/>
  <c r="E85" i="2"/>
  <c r="CE84" i="2"/>
  <c r="BZ84" i="2"/>
  <c r="BT84" i="2"/>
  <c r="BO84" i="2"/>
  <c r="BJ84" i="2"/>
  <c r="BE84" i="2"/>
  <c r="AZ84" i="2"/>
  <c r="AU84" i="2"/>
  <c r="AP84" i="2"/>
  <c r="AK84" i="2"/>
  <c r="AF84" i="2"/>
  <c r="AA84" i="2"/>
  <c r="V84" i="2"/>
  <c r="Q84" i="2"/>
  <c r="F84" i="2"/>
  <c r="E84" i="2"/>
  <c r="G84" i="2" s="1"/>
  <c r="CE83" i="2"/>
  <c r="BZ83" i="2"/>
  <c r="BT83" i="2"/>
  <c r="BE83" i="2"/>
  <c r="AZ83" i="2"/>
  <c r="AU83" i="2"/>
  <c r="AP83" i="2"/>
  <c r="AK83" i="2"/>
  <c r="AF83" i="2"/>
  <c r="AA83" i="2"/>
  <c r="V83" i="2"/>
  <c r="Q83" i="2"/>
  <c r="G83" i="2"/>
  <c r="F83" i="2"/>
  <c r="E83" i="2"/>
  <c r="CE82" i="2"/>
  <c r="BZ82" i="2"/>
  <c r="BT82" i="2"/>
  <c r="BO82" i="2"/>
  <c r="BJ82" i="2"/>
  <c r="BE82" i="2"/>
  <c r="AZ82" i="2"/>
  <c r="AU82" i="2"/>
  <c r="AP82" i="2"/>
  <c r="AK82" i="2"/>
  <c r="AF82" i="2"/>
  <c r="AA82" i="2"/>
  <c r="V82" i="2"/>
  <c r="Q82" i="2"/>
  <c r="F82" i="2"/>
  <c r="E82" i="2"/>
  <c r="G82" i="2" s="1"/>
  <c r="CE81" i="2"/>
  <c r="BZ81" i="2"/>
  <c r="BT81" i="2"/>
  <c r="BO81" i="2"/>
  <c r="BJ81" i="2"/>
  <c r="BE81" i="2"/>
  <c r="AZ81" i="2"/>
  <c r="AU81" i="2"/>
  <c r="AP81" i="2"/>
  <c r="AK81" i="2"/>
  <c r="AF81" i="2"/>
  <c r="AA81" i="2"/>
  <c r="V81" i="2"/>
  <c r="Q81" i="2"/>
  <c r="F81" i="2"/>
  <c r="E81" i="2"/>
  <c r="G81" i="2" s="1"/>
  <c r="CE80" i="2"/>
  <c r="BZ80" i="2"/>
  <c r="BT80" i="2"/>
  <c r="BO80" i="2"/>
  <c r="BJ80" i="2"/>
  <c r="BE80" i="2"/>
  <c r="AZ80" i="2"/>
  <c r="V80" i="2"/>
  <c r="Q80" i="2"/>
  <c r="F80" i="2"/>
  <c r="E80" i="2"/>
  <c r="G80" i="2" s="1"/>
  <c r="CE79" i="2"/>
  <c r="BZ79" i="2"/>
  <c r="BT79" i="2"/>
  <c r="BO79" i="2"/>
  <c r="BJ79" i="2"/>
  <c r="BE79" i="2"/>
  <c r="AZ79" i="2"/>
  <c r="G79" i="2"/>
  <c r="F79" i="2"/>
  <c r="E79" i="2"/>
  <c r="CE78" i="2"/>
  <c r="BZ78" i="2"/>
  <c r="BT78" i="2"/>
  <c r="BO78" i="2"/>
  <c r="G78" i="2"/>
  <c r="F78" i="2"/>
  <c r="E78" i="2"/>
  <c r="CE77" i="2"/>
  <c r="BZ77" i="2"/>
  <c r="BT77" i="2"/>
  <c r="BO77" i="2"/>
  <c r="F77" i="2"/>
  <c r="E77" i="2"/>
  <c r="G77" i="2" s="1"/>
  <c r="CE76" i="2"/>
  <c r="BZ76" i="2"/>
  <c r="BT76" i="2"/>
  <c r="G76" i="2"/>
  <c r="F76" i="2"/>
  <c r="E76" i="2"/>
  <c r="CE75" i="2"/>
  <c r="BZ75" i="2"/>
  <c r="BT75" i="2"/>
  <c r="BO75" i="2"/>
  <c r="BJ75" i="2"/>
  <c r="BE75" i="2"/>
  <c r="AZ75" i="2"/>
  <c r="AU75" i="2"/>
  <c r="AP75" i="2"/>
  <c r="AK75" i="2"/>
  <c r="AF75" i="2"/>
  <c r="AA75" i="2"/>
  <c r="V75" i="2"/>
  <c r="Q75" i="2"/>
  <c r="F75" i="2"/>
  <c r="E75" i="2"/>
  <c r="G75" i="2" s="1"/>
  <c r="CE74" i="2"/>
  <c r="BZ74" i="2"/>
  <c r="BT74" i="2"/>
  <c r="BO74" i="2"/>
  <c r="BJ74" i="2"/>
  <c r="BE74" i="2"/>
  <c r="AZ74" i="2"/>
  <c r="AU74" i="2"/>
  <c r="AP74" i="2"/>
  <c r="AK74" i="2"/>
  <c r="AF74" i="2"/>
  <c r="AA74" i="2"/>
  <c r="V74" i="2"/>
  <c r="Q74" i="2"/>
  <c r="F74" i="2"/>
  <c r="E74" i="2"/>
  <c r="G74" i="2" s="1"/>
  <c r="F73" i="2"/>
  <c r="E73" i="2"/>
  <c r="G73" i="2" s="1"/>
  <c r="CE72" i="2"/>
  <c r="BZ72" i="2"/>
  <c r="BT72" i="2"/>
  <c r="F72" i="2"/>
  <c r="E72" i="2"/>
  <c r="CE71" i="2"/>
  <c r="BZ71" i="2"/>
  <c r="BT71" i="2"/>
  <c r="BO71" i="2"/>
  <c r="BJ71" i="2"/>
  <c r="BE71" i="2"/>
  <c r="AZ71" i="2"/>
  <c r="AU71" i="2"/>
  <c r="AP71" i="2"/>
  <c r="AK71" i="2"/>
  <c r="AF71" i="2"/>
  <c r="AA71" i="2"/>
  <c r="V71" i="2"/>
  <c r="Q71" i="2"/>
  <c r="G71" i="2"/>
  <c r="F71" i="2"/>
  <c r="E71" i="2"/>
  <c r="CE70" i="2"/>
  <c r="BZ70" i="2"/>
  <c r="BT70" i="2"/>
  <c r="BE70" i="2"/>
  <c r="AZ70" i="2"/>
  <c r="AU70" i="2"/>
  <c r="AP70" i="2"/>
  <c r="AK70" i="2"/>
  <c r="AF70" i="2"/>
  <c r="AA70" i="2"/>
  <c r="V70" i="2"/>
  <c r="Q70" i="2"/>
  <c r="G70" i="2"/>
  <c r="F70" i="2"/>
  <c r="E70" i="2"/>
  <c r="CE69" i="2"/>
  <c r="BZ69" i="2"/>
  <c r="BT69" i="2"/>
  <c r="BO69" i="2"/>
  <c r="BJ69" i="2"/>
  <c r="BE69" i="2"/>
  <c r="AZ69" i="2"/>
  <c r="AU69" i="2"/>
  <c r="AP69" i="2"/>
  <c r="AK69" i="2"/>
  <c r="AF69" i="2"/>
  <c r="AA69" i="2"/>
  <c r="V69" i="2"/>
  <c r="Q69" i="2"/>
  <c r="G69" i="2"/>
  <c r="F69" i="2"/>
  <c r="E69" i="2"/>
  <c r="CE68" i="2"/>
  <c r="BZ68" i="2"/>
  <c r="BT68" i="2"/>
  <c r="BO68" i="2"/>
  <c r="BJ68" i="2"/>
  <c r="BE68" i="2"/>
  <c r="AZ68" i="2"/>
  <c r="AU68" i="2"/>
  <c r="AP68" i="2"/>
  <c r="AK68" i="2"/>
  <c r="AF68" i="2"/>
  <c r="AA68" i="2"/>
  <c r="V68" i="2"/>
  <c r="Q68" i="2"/>
  <c r="F68" i="2"/>
  <c r="E68" i="2"/>
  <c r="G68" i="2" s="1"/>
  <c r="F67" i="2"/>
  <c r="E67" i="2"/>
  <c r="G67" i="2" s="1"/>
  <c r="CE66" i="2"/>
  <c r="BZ66" i="2"/>
  <c r="BT66" i="2"/>
  <c r="F66" i="2"/>
  <c r="E66" i="2"/>
  <c r="G66" i="2" s="1"/>
  <c r="CE65" i="2"/>
  <c r="BZ65" i="2"/>
  <c r="BT65" i="2"/>
  <c r="BO65" i="2"/>
  <c r="BJ65" i="2"/>
  <c r="BE65" i="2"/>
  <c r="AZ65" i="2"/>
  <c r="AU65" i="2"/>
  <c r="AP65" i="2"/>
  <c r="AK65" i="2"/>
  <c r="AF65" i="2"/>
  <c r="AA65" i="2"/>
  <c r="V65" i="2"/>
  <c r="Q65" i="2"/>
  <c r="F65" i="2"/>
  <c r="E65" i="2"/>
  <c r="CE64" i="2"/>
  <c r="BZ64" i="2"/>
  <c r="BT64" i="2"/>
  <c r="BO64" i="2"/>
  <c r="BJ64" i="2"/>
  <c r="BE64" i="2"/>
  <c r="AZ64" i="2"/>
  <c r="AU64" i="2"/>
  <c r="AP64" i="2"/>
  <c r="AK64" i="2"/>
  <c r="AF64" i="2"/>
  <c r="AA64" i="2"/>
  <c r="V64" i="2"/>
  <c r="Q64" i="2"/>
  <c r="F64" i="2"/>
  <c r="E64" i="2"/>
  <c r="CE63" i="2"/>
  <c r="BZ63" i="2"/>
  <c r="BT63" i="2"/>
  <c r="BO63" i="2"/>
  <c r="BJ63" i="2"/>
  <c r="BE63" i="2"/>
  <c r="AZ63" i="2"/>
  <c r="AU63" i="2"/>
  <c r="AP63" i="2"/>
  <c r="AK63" i="2"/>
  <c r="AF63" i="2"/>
  <c r="AA63" i="2"/>
  <c r="V63" i="2"/>
  <c r="Q63" i="2"/>
  <c r="F63" i="2"/>
  <c r="E63" i="2"/>
  <c r="G63" i="2" s="1"/>
  <c r="CE62" i="2"/>
  <c r="BZ62" i="2"/>
  <c r="BT62" i="2"/>
  <c r="BO62" i="2"/>
  <c r="BJ62" i="2"/>
  <c r="BE62" i="2"/>
  <c r="AZ62" i="2"/>
  <c r="AU62" i="2"/>
  <c r="AP62" i="2"/>
  <c r="AK62" i="2"/>
  <c r="AF62" i="2"/>
  <c r="AA62" i="2"/>
  <c r="V62" i="2"/>
  <c r="Q62" i="2"/>
  <c r="F62" i="2"/>
  <c r="E62" i="2"/>
  <c r="G62" i="2" s="1"/>
  <c r="CE61" i="2"/>
  <c r="BZ61" i="2"/>
  <c r="BT61" i="2"/>
  <c r="BO61" i="2"/>
  <c r="BJ61" i="2"/>
  <c r="BE61" i="2"/>
  <c r="AZ61" i="2"/>
  <c r="AU61" i="2"/>
  <c r="AP61" i="2"/>
  <c r="AK61" i="2"/>
  <c r="AF61" i="2"/>
  <c r="AA61" i="2"/>
  <c r="V61" i="2"/>
  <c r="Q61" i="2"/>
  <c r="G61" i="2"/>
  <c r="F61" i="2"/>
  <c r="E61" i="2"/>
  <c r="CE60" i="2"/>
  <c r="BZ60" i="2"/>
  <c r="BT60" i="2"/>
  <c r="F60" i="2"/>
  <c r="E60" i="2"/>
  <c r="G60" i="2" s="1"/>
  <c r="CE59" i="2"/>
  <c r="BZ59" i="2"/>
  <c r="BT59" i="2"/>
  <c r="BO59" i="2"/>
  <c r="BJ59" i="2"/>
  <c r="BE59" i="2"/>
  <c r="AZ59" i="2"/>
  <c r="AU59" i="2"/>
  <c r="AP59" i="2"/>
  <c r="AK59" i="2"/>
  <c r="AF59" i="2"/>
  <c r="AA59" i="2"/>
  <c r="X59" i="2"/>
  <c r="W59" i="2"/>
  <c r="S59" i="2"/>
  <c r="R59" i="2"/>
  <c r="V59" i="2" s="1"/>
  <c r="N59" i="2"/>
  <c r="M59" i="2"/>
  <c r="Q59" i="2" s="1"/>
  <c r="F59" i="2"/>
  <c r="E59" i="2"/>
  <c r="G59" i="2" s="1"/>
  <c r="CE58" i="2"/>
  <c r="BZ58" i="2"/>
  <c r="BT58" i="2"/>
  <c r="BO58" i="2"/>
  <c r="BJ58" i="2"/>
  <c r="BE58" i="2"/>
  <c r="AZ58" i="2"/>
  <c r="AU58" i="2"/>
  <c r="AP58" i="2"/>
  <c r="AK58" i="2"/>
  <c r="AF58" i="2"/>
  <c r="AA58" i="2"/>
  <c r="V58" i="2"/>
  <c r="Q58" i="2"/>
  <c r="F58" i="2"/>
  <c r="E58" i="2"/>
  <c r="G58" i="2" s="1"/>
  <c r="CE57" i="2"/>
  <c r="BZ57" i="2"/>
  <c r="BT57" i="2"/>
  <c r="BO57" i="2"/>
  <c r="BJ57" i="2"/>
  <c r="BE57" i="2"/>
  <c r="AZ57" i="2"/>
  <c r="AU57" i="2"/>
  <c r="AP57" i="2"/>
  <c r="AK57" i="2"/>
  <c r="AF57" i="2"/>
  <c r="AA57" i="2"/>
  <c r="V57" i="2"/>
  <c r="Q57" i="2"/>
  <c r="F57" i="2"/>
  <c r="E57" i="2"/>
  <c r="G57" i="2" s="1"/>
  <c r="CE56" i="2"/>
  <c r="BZ56" i="2"/>
  <c r="BT56" i="2"/>
  <c r="BO56" i="2"/>
  <c r="BJ56" i="2"/>
  <c r="BE56" i="2"/>
  <c r="AZ56" i="2"/>
  <c r="AU56" i="2"/>
  <c r="AP56" i="2"/>
  <c r="AK56" i="2"/>
  <c r="AF56" i="2"/>
  <c r="AA56" i="2"/>
  <c r="V56" i="2"/>
  <c r="Q56" i="2"/>
  <c r="G56" i="2"/>
  <c r="F56" i="2"/>
  <c r="E56" i="2"/>
  <c r="CE55" i="2"/>
  <c r="BZ55" i="2"/>
  <c r="BT55" i="2"/>
  <c r="BO55" i="2"/>
  <c r="BJ55" i="2"/>
  <c r="AZ55" i="2"/>
  <c r="AU55" i="2"/>
  <c r="AP55" i="2"/>
  <c r="AK55" i="2"/>
  <c r="AF55" i="2"/>
  <c r="AA55" i="2"/>
  <c r="V55" i="2"/>
  <c r="Q55" i="2"/>
  <c r="F55" i="2"/>
  <c r="E55" i="2"/>
  <c r="CE54" i="2"/>
  <c r="BZ54" i="2"/>
  <c r="BT54" i="2"/>
  <c r="BE54" i="2"/>
  <c r="AZ54" i="2"/>
  <c r="AU54" i="2"/>
  <c r="AP54" i="2"/>
  <c r="AK54" i="2"/>
  <c r="AF54" i="2"/>
  <c r="AA54" i="2"/>
  <c r="V54" i="2"/>
  <c r="Q54" i="2"/>
  <c r="F54" i="2"/>
  <c r="E54" i="2"/>
  <c r="G54" i="2" s="1"/>
  <c r="CE53" i="2"/>
  <c r="BZ53" i="2"/>
  <c r="BT53" i="2"/>
  <c r="BO53" i="2"/>
  <c r="BJ53" i="2"/>
  <c r="BE53" i="2"/>
  <c r="AZ53" i="2"/>
  <c r="AU53" i="2"/>
  <c r="AP53" i="2"/>
  <c r="AK53" i="2"/>
  <c r="AF53" i="2"/>
  <c r="AA53" i="2"/>
  <c r="V53" i="2"/>
  <c r="Q53" i="2"/>
  <c r="G53" i="2"/>
  <c r="F53" i="2"/>
  <c r="E53" i="2"/>
  <c r="CE52" i="2"/>
  <c r="BZ52" i="2"/>
  <c r="BT52" i="2"/>
  <c r="BO52" i="2"/>
  <c r="BJ52" i="2"/>
  <c r="BE52" i="2"/>
  <c r="AZ52" i="2"/>
  <c r="AU52" i="2"/>
  <c r="AP52" i="2"/>
  <c r="AK52" i="2"/>
  <c r="AF52" i="2"/>
  <c r="AA52" i="2"/>
  <c r="V52" i="2"/>
  <c r="Q52" i="2"/>
  <c r="G52" i="2"/>
  <c r="F52" i="2"/>
  <c r="E52" i="2"/>
  <c r="G51" i="2"/>
  <c r="F51" i="2"/>
  <c r="E51" i="2"/>
  <c r="CE50" i="2"/>
  <c r="BZ50" i="2"/>
  <c r="BT50" i="2"/>
  <c r="BO50" i="2"/>
  <c r="BJ50" i="2"/>
  <c r="BE50" i="2"/>
  <c r="AZ50" i="2"/>
  <c r="AV50" i="2"/>
  <c r="AV102" i="2" s="1"/>
  <c r="AU50" i="2"/>
  <c r="AP50" i="2"/>
  <c r="AK50" i="2"/>
  <c r="AF50" i="2"/>
  <c r="AA50" i="2"/>
  <c r="V50" i="2"/>
  <c r="Q50" i="2"/>
  <c r="F50" i="2"/>
  <c r="E50" i="2"/>
  <c r="G50" i="2" s="1"/>
  <c r="G49" i="2"/>
  <c r="F49" i="2"/>
  <c r="E49" i="2"/>
  <c r="CE48" i="2"/>
  <c r="BZ48" i="2"/>
  <c r="BT48" i="2"/>
  <c r="BO48" i="2"/>
  <c r="BJ48" i="2"/>
  <c r="BE48" i="2"/>
  <c r="AZ48" i="2"/>
  <c r="AU48" i="2"/>
  <c r="AP48" i="2"/>
  <c r="AK48" i="2"/>
  <c r="AF48" i="2"/>
  <c r="AA48" i="2"/>
  <c r="V48" i="2"/>
  <c r="Q48" i="2"/>
  <c r="F48" i="2"/>
  <c r="E48" i="2"/>
  <c r="G48" i="2" s="1"/>
  <c r="CE47" i="2"/>
  <c r="BZ47" i="2"/>
  <c r="BT47" i="2"/>
  <c r="BO47" i="2"/>
  <c r="BJ47" i="2"/>
  <c r="BE47" i="2"/>
  <c r="AZ47" i="2"/>
  <c r="AU47" i="2"/>
  <c r="AP47" i="2"/>
  <c r="AK47" i="2"/>
  <c r="AF47" i="2"/>
  <c r="AA47" i="2"/>
  <c r="V47" i="2"/>
  <c r="Q47" i="2"/>
  <c r="F47" i="2"/>
  <c r="E47" i="2"/>
  <c r="G47" i="2" s="1"/>
  <c r="CE46" i="2"/>
  <c r="BZ46" i="2"/>
  <c r="BT46" i="2"/>
  <c r="BO46" i="2"/>
  <c r="BJ46" i="2"/>
  <c r="BE46" i="2"/>
  <c r="AZ46" i="2"/>
  <c r="AU46" i="2"/>
  <c r="AP46" i="2"/>
  <c r="AK46" i="2"/>
  <c r="AF46" i="2"/>
  <c r="AA46" i="2"/>
  <c r="V46" i="2"/>
  <c r="Q46" i="2"/>
  <c r="F46" i="2"/>
  <c r="E46" i="2"/>
  <c r="CE45" i="2"/>
  <c r="BZ45" i="2"/>
  <c r="BT45" i="2"/>
  <c r="BE45" i="2"/>
  <c r="AZ45" i="2"/>
  <c r="AU45" i="2"/>
  <c r="AP45" i="2"/>
  <c r="AK45" i="2"/>
  <c r="AF45" i="2"/>
  <c r="AA45" i="2"/>
  <c r="V45" i="2"/>
  <c r="Q45" i="2"/>
  <c r="F45" i="2"/>
  <c r="E45" i="2"/>
  <c r="G45" i="2" s="1"/>
  <c r="CE44" i="2"/>
  <c r="BZ44" i="2"/>
  <c r="BT44" i="2"/>
  <c r="BO44" i="2"/>
  <c r="BJ44" i="2"/>
  <c r="BE44" i="2"/>
  <c r="AZ44" i="2"/>
  <c r="AU44" i="2"/>
  <c r="AP44" i="2"/>
  <c r="AK44" i="2"/>
  <c r="AF44" i="2"/>
  <c r="AA44" i="2"/>
  <c r="V44" i="2"/>
  <c r="Q44" i="2"/>
  <c r="G44" i="2"/>
  <c r="F44" i="2"/>
  <c r="E44" i="2"/>
  <c r="CE43" i="2"/>
  <c r="BZ43" i="2"/>
  <c r="BT43" i="2"/>
  <c r="BO43" i="2"/>
  <c r="BJ43" i="2"/>
  <c r="BE43" i="2"/>
  <c r="AZ43" i="2"/>
  <c r="AU43" i="2"/>
  <c r="AP43" i="2"/>
  <c r="AK43" i="2"/>
  <c r="AF43" i="2"/>
  <c r="AA43" i="2"/>
  <c r="V43" i="2"/>
  <c r="Q43" i="2"/>
  <c r="F43" i="2"/>
  <c r="E43" i="2"/>
  <c r="CE42" i="2"/>
  <c r="BZ42" i="2"/>
  <c r="BT42" i="2"/>
  <c r="BO42" i="2"/>
  <c r="BJ42" i="2"/>
  <c r="BE42" i="2"/>
  <c r="AZ42" i="2"/>
  <c r="AU42" i="2"/>
  <c r="AP42" i="2"/>
  <c r="AK42" i="2"/>
  <c r="AF42" i="2"/>
  <c r="AA42" i="2"/>
  <c r="V42" i="2"/>
  <c r="Q42" i="2"/>
  <c r="F42" i="2"/>
  <c r="E42" i="2"/>
  <c r="G42" i="2" s="1"/>
  <c r="CE41" i="2"/>
  <c r="BZ41" i="2"/>
  <c r="BT41" i="2"/>
  <c r="BO41" i="2"/>
  <c r="BJ41" i="2"/>
  <c r="BE41" i="2"/>
  <c r="AZ41" i="2"/>
  <c r="AU41" i="2"/>
  <c r="AP41" i="2"/>
  <c r="AK41" i="2"/>
  <c r="AF41" i="2"/>
  <c r="AA41" i="2"/>
  <c r="V41" i="2"/>
  <c r="Q41" i="2"/>
  <c r="F41" i="2"/>
  <c r="E41" i="2"/>
  <c r="G41" i="2" s="1"/>
  <c r="CE40" i="2"/>
  <c r="BZ40" i="2"/>
  <c r="BT40" i="2"/>
  <c r="BO40" i="2"/>
  <c r="BJ40" i="2"/>
  <c r="BE40" i="2"/>
  <c r="AZ40" i="2"/>
  <c r="AU40" i="2"/>
  <c r="AP40" i="2"/>
  <c r="AK40" i="2"/>
  <c r="AF40" i="2"/>
  <c r="AA40" i="2"/>
  <c r="V40" i="2"/>
  <c r="O40" i="2"/>
  <c r="Q40" i="2" s="1"/>
  <c r="F40" i="2"/>
  <c r="E40" i="2"/>
  <c r="CE39" i="2"/>
  <c r="BZ39" i="2"/>
  <c r="BQ39" i="2"/>
  <c r="BT39" i="2" s="1"/>
  <c r="BO39" i="2"/>
  <c r="BJ39" i="2"/>
  <c r="BE39" i="2"/>
  <c r="AZ39" i="2"/>
  <c r="AU39" i="2"/>
  <c r="AP39" i="2"/>
  <c r="AK39" i="2"/>
  <c r="AF39" i="2"/>
  <c r="AA39" i="2"/>
  <c r="V39" i="2"/>
  <c r="Q39" i="2"/>
  <c r="M39" i="2"/>
  <c r="G39" i="2"/>
  <c r="F39" i="2"/>
  <c r="E39" i="2"/>
  <c r="F38" i="2"/>
  <c r="E38" i="2"/>
  <c r="G38" i="2" s="1"/>
  <c r="CE37" i="2"/>
  <c r="BZ37" i="2"/>
  <c r="BT37" i="2"/>
  <c r="BO37" i="2"/>
  <c r="BJ37" i="2"/>
  <c r="BE37" i="2"/>
  <c r="AZ37" i="2"/>
  <c r="AU37" i="2"/>
  <c r="AQ37" i="2"/>
  <c r="AP37" i="2"/>
  <c r="AK37" i="2"/>
  <c r="AF37" i="2"/>
  <c r="AA37" i="2"/>
  <c r="V37" i="2"/>
  <c r="Q37" i="2"/>
  <c r="F37" i="2"/>
  <c r="E37" i="2"/>
  <c r="CE36" i="2"/>
  <c r="BZ36" i="2"/>
  <c r="BT36" i="2"/>
  <c r="BO36" i="2"/>
  <c r="BJ36" i="2"/>
  <c r="BE36" i="2"/>
  <c r="AZ36" i="2"/>
  <c r="AU36" i="2"/>
  <c r="AP36" i="2"/>
  <c r="AK36" i="2"/>
  <c r="AF36" i="2"/>
  <c r="AA36" i="2"/>
  <c r="V36" i="2"/>
  <c r="Q36" i="2"/>
  <c r="F36" i="2"/>
  <c r="E36" i="2"/>
  <c r="G36" i="2" s="1"/>
  <c r="CE35" i="2"/>
  <c r="BZ35" i="2"/>
  <c r="BT35" i="2"/>
  <c r="BO35" i="2"/>
  <c r="BJ35" i="2"/>
  <c r="BE35" i="2"/>
  <c r="AZ35" i="2"/>
  <c r="AU35" i="2"/>
  <c r="AP35" i="2"/>
  <c r="AK35" i="2"/>
  <c r="AF35" i="2"/>
  <c r="AA35" i="2"/>
  <c r="V35" i="2"/>
  <c r="Q35" i="2"/>
  <c r="F35" i="2"/>
  <c r="E35" i="2"/>
  <c r="G35" i="2" s="1"/>
  <c r="CE34" i="2"/>
  <c r="BZ34" i="2"/>
  <c r="BT34" i="2"/>
  <c r="BO34" i="2"/>
  <c r="BJ34" i="2"/>
  <c r="BE34" i="2"/>
  <c r="AZ34" i="2"/>
  <c r="AU34" i="2"/>
  <c r="AP34" i="2"/>
  <c r="AK34" i="2"/>
  <c r="AF34" i="2"/>
  <c r="AA34" i="2"/>
  <c r="V34" i="2"/>
  <c r="Q34" i="2"/>
  <c r="G34" i="2"/>
  <c r="F34" i="2"/>
  <c r="E34" i="2"/>
  <c r="CE33" i="2"/>
  <c r="BZ33" i="2"/>
  <c r="BT33" i="2"/>
  <c r="BO33" i="2"/>
  <c r="BJ33" i="2"/>
  <c r="BE33" i="2"/>
  <c r="AZ33" i="2"/>
  <c r="AU33" i="2"/>
  <c r="AP33" i="2"/>
  <c r="AK33" i="2"/>
  <c r="AF33" i="2"/>
  <c r="AA33" i="2"/>
  <c r="V33" i="2"/>
  <c r="Q33" i="2"/>
  <c r="G33" i="2"/>
  <c r="F33" i="2"/>
  <c r="E33" i="2"/>
  <c r="CE32" i="2"/>
  <c r="BZ32" i="2"/>
  <c r="BT32" i="2"/>
  <c r="BO32" i="2"/>
  <c r="BJ32" i="2"/>
  <c r="BE32" i="2"/>
  <c r="AZ32" i="2"/>
  <c r="AU32" i="2"/>
  <c r="AP32" i="2"/>
  <c r="AK32" i="2"/>
  <c r="AF32" i="2"/>
  <c r="AA32" i="2"/>
  <c r="V32" i="2"/>
  <c r="Q32" i="2"/>
  <c r="F32" i="2"/>
  <c r="E32" i="2"/>
  <c r="G32" i="2" s="1"/>
  <c r="CE31" i="2"/>
  <c r="BZ31" i="2"/>
  <c r="BT31" i="2"/>
  <c r="BO31" i="2"/>
  <c r="BJ31" i="2"/>
  <c r="BE31" i="2"/>
  <c r="AZ31" i="2"/>
  <c r="G31" i="2"/>
  <c r="F31" i="2"/>
  <c r="E31" i="2"/>
  <c r="CE30" i="2"/>
  <c r="BZ30" i="2"/>
  <c r="BT30" i="2"/>
  <c r="BE30" i="2"/>
  <c r="AZ30" i="2"/>
  <c r="AU30" i="2"/>
  <c r="AP30" i="2"/>
  <c r="AK30" i="2"/>
  <c r="AF30" i="2"/>
  <c r="AA30" i="2"/>
  <c r="V30" i="2"/>
  <c r="Q30" i="2"/>
  <c r="F30" i="2"/>
  <c r="E30" i="2"/>
  <c r="G30" i="2" s="1"/>
  <c r="CE29" i="2"/>
  <c r="BZ29" i="2"/>
  <c r="BT29" i="2"/>
  <c r="BO29" i="2"/>
  <c r="BJ29" i="2"/>
  <c r="BE29" i="2"/>
  <c r="AZ29" i="2"/>
  <c r="AU29" i="2"/>
  <c r="AP29" i="2"/>
  <c r="AK29" i="2"/>
  <c r="AF29" i="2"/>
  <c r="AA29" i="2"/>
  <c r="V29" i="2"/>
  <c r="Q29" i="2"/>
  <c r="G29" i="2"/>
  <c r="F29" i="2"/>
  <c r="E29" i="2"/>
  <c r="CE28" i="2"/>
  <c r="BZ28" i="2"/>
  <c r="BT28" i="2"/>
  <c r="BO28" i="2"/>
  <c r="BJ28" i="2"/>
  <c r="BE28" i="2"/>
  <c r="AZ28" i="2"/>
  <c r="AU28" i="2"/>
  <c r="AP28" i="2"/>
  <c r="AK28" i="2"/>
  <c r="AF28" i="2"/>
  <c r="AA28" i="2"/>
  <c r="V28" i="2"/>
  <c r="Q28" i="2"/>
  <c r="G28" i="2"/>
  <c r="F28" i="2"/>
  <c r="E28" i="2"/>
  <c r="CE27" i="2"/>
  <c r="BZ27" i="2"/>
  <c r="BT27" i="2"/>
  <c r="BO27" i="2"/>
  <c r="BJ27" i="2"/>
  <c r="BE27" i="2"/>
  <c r="AZ27" i="2"/>
  <c r="AU27" i="2"/>
  <c r="AP27" i="2"/>
  <c r="AK27" i="2"/>
  <c r="AF27" i="2"/>
  <c r="AA27" i="2"/>
  <c r="V27" i="2"/>
  <c r="Q27" i="2"/>
  <c r="F27" i="2"/>
  <c r="E27" i="2"/>
  <c r="G27" i="2" s="1"/>
  <c r="CE26" i="2"/>
  <c r="BZ26" i="2"/>
  <c r="BT26" i="2"/>
  <c r="BO26" i="2"/>
  <c r="BJ26" i="2"/>
  <c r="BE26" i="2"/>
  <c r="AZ26" i="2"/>
  <c r="AU26" i="2"/>
  <c r="G26" i="2"/>
  <c r="F26" i="2"/>
  <c r="E26" i="2"/>
  <c r="CE25" i="2"/>
  <c r="BZ25" i="2"/>
  <c r="BT25" i="2"/>
  <c r="BO25" i="2"/>
  <c r="BJ25" i="2"/>
  <c r="BE25" i="2"/>
  <c r="AZ25" i="2"/>
  <c r="AU25" i="2"/>
  <c r="AP25" i="2"/>
  <c r="AK25" i="2"/>
  <c r="AF25" i="2"/>
  <c r="AA25" i="2"/>
  <c r="V25" i="2"/>
  <c r="Q25" i="2"/>
  <c r="F25" i="2"/>
  <c r="E25" i="2"/>
  <c r="G25" i="2" s="1"/>
  <c r="CE24" i="2"/>
  <c r="BZ24" i="2"/>
  <c r="BT24" i="2"/>
  <c r="BO24" i="2"/>
  <c r="BJ24" i="2"/>
  <c r="BE24" i="2"/>
  <c r="AZ24" i="2"/>
  <c r="AU24" i="2"/>
  <c r="AP24" i="2"/>
  <c r="AK24" i="2"/>
  <c r="AF24" i="2"/>
  <c r="AA24" i="2"/>
  <c r="V24" i="2"/>
  <c r="Q24" i="2"/>
  <c r="F24" i="2"/>
  <c r="E24" i="2"/>
  <c r="G24" i="2" s="1"/>
  <c r="CE23" i="2"/>
  <c r="BZ23" i="2"/>
  <c r="BT23" i="2"/>
  <c r="BO23" i="2"/>
  <c r="BJ23" i="2"/>
  <c r="BE23" i="2"/>
  <c r="AZ23" i="2"/>
  <c r="AU23" i="2"/>
  <c r="AP23" i="2"/>
  <c r="AK23" i="2"/>
  <c r="AF23" i="2"/>
  <c r="AA23" i="2"/>
  <c r="V23" i="2"/>
  <c r="Q23" i="2"/>
  <c r="F23" i="2"/>
  <c r="E23" i="2"/>
  <c r="CE22" i="2"/>
  <c r="BZ22" i="2"/>
  <c r="BT22" i="2"/>
  <c r="BO22" i="2"/>
  <c r="BJ22" i="2"/>
  <c r="BE22" i="2"/>
  <c r="AZ22" i="2"/>
  <c r="AU22" i="2"/>
  <c r="AP22" i="2"/>
  <c r="AK22" i="2"/>
  <c r="AF22" i="2"/>
  <c r="AA22" i="2"/>
  <c r="V22" i="2"/>
  <c r="Q22" i="2"/>
  <c r="F22" i="2"/>
  <c r="E22" i="2"/>
  <c r="CE21" i="2"/>
  <c r="BZ21" i="2"/>
  <c r="BT21" i="2"/>
  <c r="BO21" i="2"/>
  <c r="BJ21" i="2"/>
  <c r="BE21" i="2"/>
  <c r="AZ21" i="2"/>
  <c r="AU21" i="2"/>
  <c r="AP21" i="2"/>
  <c r="AK21" i="2"/>
  <c r="AF21" i="2"/>
  <c r="AA21" i="2"/>
  <c r="V21" i="2"/>
  <c r="Q21" i="2"/>
  <c r="F21" i="2"/>
  <c r="E21" i="2"/>
  <c r="G21" i="2" s="1"/>
  <c r="CE20" i="2"/>
  <c r="BZ20" i="2"/>
  <c r="F20" i="2"/>
  <c r="E20" i="2"/>
  <c r="G20" i="2" s="1"/>
  <c r="CE19" i="2"/>
  <c r="BZ19" i="2"/>
  <c r="BT19" i="2"/>
  <c r="BO19" i="2"/>
  <c r="BJ19" i="2"/>
  <c r="BE19" i="2"/>
  <c r="AZ19" i="2"/>
  <c r="AU19" i="2"/>
  <c r="AP19" i="2"/>
  <c r="AK19" i="2"/>
  <c r="AF19" i="2"/>
  <c r="AA19" i="2"/>
  <c r="V19" i="2"/>
  <c r="Q19" i="2"/>
  <c r="G19" i="2"/>
  <c r="F19" i="2"/>
  <c r="E19" i="2"/>
  <c r="CE18" i="2"/>
  <c r="BZ18" i="2"/>
  <c r="BT18" i="2"/>
  <c r="F18" i="2"/>
  <c r="E18" i="2"/>
  <c r="G18" i="2" s="1"/>
  <c r="CE17" i="2"/>
  <c r="BZ17" i="2"/>
  <c r="BT17" i="2"/>
  <c r="F17" i="2"/>
  <c r="E17" i="2"/>
  <c r="CE16" i="2"/>
  <c r="BZ16" i="2"/>
  <c r="BT16" i="2"/>
  <c r="BO16" i="2"/>
  <c r="BJ16" i="2"/>
  <c r="BE16" i="2"/>
  <c r="AZ16" i="2"/>
  <c r="AU16" i="2"/>
  <c r="AN16" i="2"/>
  <c r="AM16" i="2"/>
  <c r="AP16" i="2" s="1"/>
  <c r="AL16" i="2"/>
  <c r="AI16" i="2"/>
  <c r="AH16" i="2"/>
  <c r="AG16" i="2"/>
  <c r="AK16" i="2" s="1"/>
  <c r="AD16" i="2"/>
  <c r="AD102" i="2" s="1"/>
  <c r="AC16" i="2"/>
  <c r="AF16" i="2" s="1"/>
  <c r="AB16" i="2"/>
  <c r="Y16" i="2"/>
  <c r="Y102" i="2" s="1"/>
  <c r="X16" i="2"/>
  <c r="X102" i="2" s="1"/>
  <c r="W16" i="2"/>
  <c r="W102" i="2" s="1"/>
  <c r="T16" i="2"/>
  <c r="S16" i="2"/>
  <c r="V16" i="2" s="1"/>
  <c r="R16" i="2"/>
  <c r="R102" i="2" s="1"/>
  <c r="O16" i="2"/>
  <c r="O102" i="2" s="1"/>
  <c r="N16" i="2"/>
  <c r="N102" i="2" s="1"/>
  <c r="M16" i="2"/>
  <c r="M102" i="2" s="1"/>
  <c r="F16" i="2"/>
  <c r="E16" i="2"/>
  <c r="G16" i="2" s="1"/>
  <c r="CE15" i="2"/>
  <c r="BZ15" i="2"/>
  <c r="BT15" i="2"/>
  <c r="BO15" i="2"/>
  <c r="BJ15" i="2"/>
  <c r="BE15" i="2"/>
  <c r="AZ15" i="2"/>
  <c r="AU15" i="2"/>
  <c r="AP15" i="2"/>
  <c r="AK15" i="2"/>
  <c r="AF15" i="2"/>
  <c r="AA15" i="2"/>
  <c r="V15" i="2"/>
  <c r="Q15" i="2"/>
  <c r="G15" i="2"/>
  <c r="F15" i="2"/>
  <c r="E15" i="2"/>
  <c r="CE14" i="2"/>
  <c r="BZ14" i="2"/>
  <c r="BT14" i="2"/>
  <c r="BO14" i="2"/>
  <c r="BJ14" i="2"/>
  <c r="BE14" i="2"/>
  <c r="AZ14" i="2"/>
  <c r="AU14" i="2"/>
  <c r="AP14" i="2"/>
  <c r="AK14" i="2"/>
  <c r="AF14" i="2"/>
  <c r="AA14" i="2"/>
  <c r="V14" i="2"/>
  <c r="Q14" i="2"/>
  <c r="G14" i="2"/>
  <c r="F14" i="2"/>
  <c r="E14" i="2"/>
  <c r="CE13" i="2"/>
  <c r="BZ13" i="2"/>
  <c r="BT13" i="2"/>
  <c r="BO13" i="2"/>
  <c r="BJ13" i="2"/>
  <c r="BE13" i="2"/>
  <c r="AZ13" i="2"/>
  <c r="AU13" i="2"/>
  <c r="AP13" i="2"/>
  <c r="AK13" i="2"/>
  <c r="AF13" i="2"/>
  <c r="AA13" i="2"/>
  <c r="V13" i="2"/>
  <c r="Q13" i="2"/>
  <c r="F13" i="2"/>
  <c r="E13" i="2"/>
  <c r="G13" i="2" s="1"/>
  <c r="CE12" i="2"/>
  <c r="BZ12" i="2"/>
  <c r="BT12" i="2"/>
  <c r="BO12" i="2"/>
  <c r="BJ12" i="2"/>
  <c r="BE12" i="2"/>
  <c r="AZ12" i="2"/>
  <c r="AU12" i="2"/>
  <c r="AP12" i="2"/>
  <c r="AK12" i="2"/>
  <c r="AF12" i="2"/>
  <c r="AA12" i="2"/>
  <c r="V12" i="2"/>
  <c r="Q12" i="2"/>
  <c r="F12" i="2"/>
  <c r="E12" i="2"/>
  <c r="G12" i="2" s="1"/>
  <c r="CE11" i="2"/>
  <c r="BZ11" i="2"/>
  <c r="BT11" i="2"/>
  <c r="BO11" i="2"/>
  <c r="BJ11" i="2"/>
  <c r="BE11" i="2"/>
  <c r="AZ11" i="2"/>
  <c r="AU11" i="2"/>
  <c r="AP11" i="2"/>
  <c r="AK11" i="2"/>
  <c r="AF11" i="2"/>
  <c r="AA11" i="2"/>
  <c r="V11" i="2"/>
  <c r="Q11" i="2"/>
  <c r="F11" i="2"/>
  <c r="E11" i="2"/>
  <c r="G11" i="2" s="1"/>
  <c r="CE10" i="2"/>
  <c r="BZ10" i="2"/>
  <c r="BT10" i="2"/>
  <c r="F10" i="2"/>
  <c r="E10" i="2"/>
  <c r="G10" i="2" s="1"/>
  <c r="CE9" i="2"/>
  <c r="BZ9" i="2"/>
  <c r="BT9" i="2"/>
  <c r="BO9" i="2"/>
  <c r="BJ9" i="2"/>
  <c r="BE9" i="2"/>
  <c r="AZ9" i="2"/>
  <c r="AU9" i="2"/>
  <c r="AP9" i="2"/>
  <c r="AK9" i="2"/>
  <c r="AF9" i="2"/>
  <c r="AA9" i="2"/>
  <c r="V9" i="2"/>
  <c r="Q9" i="2"/>
  <c r="F9" i="2"/>
  <c r="E9" i="2"/>
  <c r="G9" i="2" s="1"/>
  <c r="CE8" i="2"/>
  <c r="BZ8" i="2"/>
  <c r="BT8" i="2"/>
  <c r="BE8" i="2"/>
  <c r="AZ8" i="2"/>
  <c r="AU8" i="2"/>
  <c r="AP8" i="2"/>
  <c r="AK8" i="2"/>
  <c r="AF8" i="2"/>
  <c r="AA8" i="2"/>
  <c r="V8" i="2"/>
  <c r="Q8" i="2"/>
  <c r="F8" i="2"/>
  <c r="E8" i="2"/>
  <c r="G8" i="2" s="1"/>
  <c r="CE7" i="2"/>
  <c r="BZ7" i="2"/>
  <c r="BT7" i="2"/>
  <c r="BO7" i="2"/>
  <c r="BJ7" i="2"/>
  <c r="BE7" i="2"/>
  <c r="AZ7" i="2"/>
  <c r="AU7" i="2"/>
  <c r="AN7" i="2"/>
  <c r="AM7" i="2"/>
  <c r="AL7" i="2"/>
  <c r="AP7" i="2" s="1"/>
  <c r="AK7" i="2"/>
  <c r="AI7" i="2"/>
  <c r="AI102" i="2" s="1"/>
  <c r="AH7" i="2"/>
  <c r="AH102" i="2" s="1"/>
  <c r="AG7" i="2"/>
  <c r="AG102" i="2" s="1"/>
  <c r="AD7" i="2"/>
  <c r="AC7" i="2"/>
  <c r="AB7" i="2"/>
  <c r="AF7" i="2" s="1"/>
  <c r="AA7" i="2"/>
  <c r="Y7" i="2"/>
  <c r="X7" i="2"/>
  <c r="W7" i="2"/>
  <c r="T7" i="2"/>
  <c r="S7" i="2"/>
  <c r="R7" i="2"/>
  <c r="V7" i="2" s="1"/>
  <c r="Q7" i="2"/>
  <c r="O7" i="2"/>
  <c r="N7" i="2"/>
  <c r="M7" i="2"/>
  <c r="G7" i="2"/>
  <c r="F7" i="2"/>
  <c r="E7" i="2"/>
  <c r="CE6" i="2"/>
  <c r="BZ6" i="2"/>
  <c r="BT6" i="2"/>
  <c r="BM6" i="2"/>
  <c r="BM102" i="2" s="1"/>
  <c r="BJ6" i="2"/>
  <c r="BE6" i="2"/>
  <c r="BE102" i="2" s="1"/>
  <c r="AZ6" i="2"/>
  <c r="AZ102" i="2" s="1"/>
  <c r="AU6" i="2"/>
  <c r="AP6" i="2"/>
  <c r="AK6" i="2"/>
  <c r="AK102" i="2" s="1"/>
  <c r="AF6" i="2"/>
  <c r="AA6" i="2"/>
  <c r="V6" i="2"/>
  <c r="Q6" i="2"/>
  <c r="F6" i="2"/>
  <c r="E6" i="2"/>
  <c r="G65" i="2" s="1"/>
  <c r="AF102" i="2" l="1"/>
  <c r="BO102" i="2"/>
  <c r="Q102" i="2"/>
  <c r="V102" i="2"/>
  <c r="G22" i="2"/>
  <c r="BO6" i="2"/>
  <c r="Q16" i="2"/>
  <c r="AA16" i="2"/>
  <c r="AA102" i="2" s="1"/>
  <c r="G37" i="2"/>
  <c r="S102" i="2"/>
  <c r="BQ102" i="2"/>
  <c r="BT102" i="2" s="1"/>
  <c r="G55" i="2"/>
  <c r="G72" i="2"/>
  <c r="G98" i="2"/>
  <c r="AC102" i="2"/>
  <c r="G6" i="2"/>
  <c r="G40" i="2"/>
  <c r="G23" i="2"/>
  <c r="G43" i="2"/>
  <c r="G64" i="2"/>
  <c r="G17" i="2"/>
  <c r="G46" i="2"/>
  <c r="D104" i="3"/>
</calcChain>
</file>

<file path=xl/sharedStrings.xml><?xml version="1.0" encoding="utf-8"?>
<sst xmlns="http://schemas.openxmlformats.org/spreadsheetml/2006/main" count="1343" uniqueCount="378">
  <si>
    <t>Atl;antic Union</t>
  </si>
  <si>
    <t>Cheapeake Bank</t>
  </si>
  <si>
    <t>Powell Valley Bank</t>
  </si>
  <si>
    <t xml:space="preserve"> </t>
  </si>
  <si>
    <t>2008 Campaign</t>
  </si>
  <si>
    <t>2009 Campaign</t>
  </si>
  <si>
    <t>2010 Campaign</t>
  </si>
  <si>
    <t>2011 Campaign</t>
  </si>
  <si>
    <t>2012 Campaign</t>
  </si>
  <si>
    <t>2013 Campaign</t>
  </si>
  <si>
    <t>2014 Campaign</t>
  </si>
  <si>
    <t>2015 Campaign</t>
  </si>
  <si>
    <t>2016 Campaign</t>
  </si>
  <si>
    <t>2017 Campaign</t>
  </si>
  <si>
    <t>2018 Campaign</t>
  </si>
  <si>
    <t>2019 Campaign</t>
  </si>
  <si>
    <t>2020 Campaign</t>
  </si>
  <si>
    <t>2021 Campaign</t>
  </si>
  <si>
    <t>Region</t>
  </si>
  <si>
    <t>Asset size ($000)
2nd Qtr 2019</t>
  </si>
  <si>
    <t>Bank</t>
  </si>
  <si>
    <t>Asset Class</t>
  </si>
  <si>
    <t>Counter</t>
  </si>
  <si>
    <t>Asset Counter</t>
  </si>
  <si>
    <t>CEO Name</t>
  </si>
  <si>
    <t>Title</t>
  </si>
  <si>
    <t>Phone</t>
  </si>
  <si>
    <t>Email</t>
  </si>
  <si>
    <t>Solicitation Approval for 2020?</t>
  </si>
  <si>
    <t>Individual</t>
  </si>
  <si>
    <t>Director</t>
  </si>
  <si>
    <t>Corporate</t>
  </si>
  <si>
    <t>PAC 2 PAC</t>
  </si>
  <si>
    <t>Total</t>
  </si>
  <si>
    <t>CEO Giving</t>
  </si>
  <si>
    <t>Central</t>
  </si>
  <si>
    <t>American Nat'l Bank &amp; Trust Co.</t>
  </si>
  <si>
    <t>Jeff Haley</t>
  </si>
  <si>
    <t>President &amp; CEO</t>
  </si>
  <si>
    <t>(434) 773-2259</t>
  </si>
  <si>
    <t>haleyj@amnb.com</t>
  </si>
  <si>
    <t>East</t>
  </si>
  <si>
    <t>Atlantic Union Bank &amp; Trust</t>
  </si>
  <si>
    <t>John Asbury</t>
  </si>
  <si>
    <t>(804) 632-2121</t>
  </si>
  <si>
    <t>john.asbury@bankatunion.com</t>
  </si>
  <si>
    <t>Y</t>
  </si>
  <si>
    <t>National</t>
  </si>
  <si>
    <t>Bank of America, NA</t>
  </si>
  <si>
    <t>Kelly Beazley</t>
  </si>
  <si>
    <t>SVP, ESG Program Manager, Market President</t>
  </si>
  <si>
    <t>(804) 887-8768</t>
  </si>
  <si>
    <t>charlie.henderson@bankofamerica.com</t>
  </si>
  <si>
    <t>Southwest</t>
  </si>
  <si>
    <t>Bank of Botetourt</t>
  </si>
  <si>
    <t>G. Lyn Hayth</t>
  </si>
  <si>
    <t>(540) 591-5008</t>
  </si>
  <si>
    <t>lhayth@bankofbotetourt.com</t>
  </si>
  <si>
    <t>North</t>
  </si>
  <si>
    <t>Bank of Charles Town</t>
  </si>
  <si>
    <t>Alice P. Frazier</t>
  </si>
  <si>
    <t>(703) 584-6033</t>
  </si>
  <si>
    <t>afrazier@mybct.com</t>
  </si>
  <si>
    <t>Bank of Clarke County</t>
  </si>
  <si>
    <t>Brandon Lorey</t>
  </si>
  <si>
    <t>Bank of the James</t>
  </si>
  <si>
    <t>Robert R. Chapman, III</t>
  </si>
  <si>
    <t>(434) 846-2000</t>
  </si>
  <si>
    <t>rchapman@bankofthejames.com</t>
  </si>
  <si>
    <t>Benchmark Community Bank</t>
  </si>
  <si>
    <t>Jay Stafford</t>
  </si>
  <si>
    <t>Blue Ridge Bank</t>
  </si>
  <si>
    <t>Brian Plum</t>
  </si>
  <si>
    <t>(540) 843-5207</t>
  </si>
  <si>
    <t>bplum@mybrb.com</t>
  </si>
  <si>
    <t>Burke &amp; Herbert Bank</t>
  </si>
  <si>
    <t>David P. Boyle</t>
  </si>
  <si>
    <t>C&amp;F Bank</t>
  </si>
  <si>
    <t>Tom Cherry</t>
  </si>
  <si>
    <t>Calvin B. Taylor Bank</t>
  </si>
  <si>
    <t>Raymond M. Thompson</t>
  </si>
  <si>
    <t>President, CEO &amp; Director</t>
  </si>
  <si>
    <t>Capital Bank (MD)</t>
  </si>
  <si>
    <t>Ed Barry</t>
  </si>
  <si>
    <t>Capon Valley Bank</t>
  </si>
  <si>
    <t>Michael A. McDonald</t>
  </si>
  <si>
    <t>EVP &amp; CEO</t>
  </si>
  <si>
    <t>Capital One</t>
  </si>
  <si>
    <t>Steve DeLuca</t>
  </si>
  <si>
    <t>Carter Bank &amp; Trust</t>
  </si>
  <si>
    <t>Litz H. VanDyke</t>
  </si>
  <si>
    <t>CEO</t>
  </si>
  <si>
    <t>(276) 656-1776</t>
  </si>
  <si>
    <t>litz.vandyke@carterbankandtrust.com</t>
  </si>
  <si>
    <t>Chain Bridge Bank</t>
  </si>
  <si>
    <t>John J. Brough</t>
  </si>
  <si>
    <t>(703) 748-2005</t>
  </si>
  <si>
    <t>jbrough@chainbridgebank.com</t>
  </si>
  <si>
    <t>Chesapeake Bank</t>
  </si>
  <si>
    <t>Jeffrey M. Szyperski</t>
  </si>
  <si>
    <t>Chairman, President &amp; CEO</t>
  </si>
  <si>
    <t>(804) 435-3593</t>
  </si>
  <si>
    <t>jszyperski@chesbank.com</t>
  </si>
  <si>
    <t>Citizens Bank &amp; Trust Co.</t>
  </si>
  <si>
    <t>Joseph D. Borgerding</t>
  </si>
  <si>
    <t>(434) 292-8140</t>
  </si>
  <si>
    <t>joe.borgerding@cbtva.com</t>
  </si>
  <si>
    <t>City National Bank</t>
  </si>
  <si>
    <t>Charles Hageboeck</t>
  </si>
  <si>
    <t>(304) 769-1102</t>
  </si>
  <si>
    <t>skip.hageboeck@cityholding.com</t>
  </si>
  <si>
    <t>Community Bank of the Chesapeake</t>
  </si>
  <si>
    <t>William Pasenelli</t>
  </si>
  <si>
    <t>(240) 427-1033</t>
  </si>
  <si>
    <t>wpasenelli@cbtc.com</t>
  </si>
  <si>
    <t>Community Bankers' Bank</t>
  </si>
  <si>
    <t>Gary Shook</t>
  </si>
  <si>
    <t>Forbright Bank</t>
  </si>
  <si>
    <t>Don Cole</t>
  </si>
  <si>
    <t>CornerStone Bank NA</t>
  </si>
  <si>
    <t>Steve Grist</t>
  </si>
  <si>
    <t>President</t>
  </si>
  <si>
    <t>(540) 463-2222</t>
  </si>
  <si>
    <t>grists@cornerstonebankva.com</t>
  </si>
  <si>
    <t>Dollar Bank</t>
  </si>
  <si>
    <t>David Paradise</t>
  </si>
  <si>
    <t>SVP, Virginia Division</t>
  </si>
  <si>
    <t>EagleBank</t>
  </si>
  <si>
    <t>Lindsey S. Rheaume</t>
  </si>
  <si>
    <t>Farmers &amp; Merchants Bank</t>
  </si>
  <si>
    <t>Mark Hanna</t>
  </si>
  <si>
    <t xml:space="preserve">President </t>
  </si>
  <si>
    <t>(540) 896-8941</t>
  </si>
  <si>
    <t>mhanna@fmbankva.com</t>
  </si>
  <si>
    <t>Farmers &amp; Merchants Bank of Craig Co.</t>
  </si>
  <si>
    <t>Sandra K. Dudding</t>
  </si>
  <si>
    <t>CEO &amp; President</t>
  </si>
  <si>
    <t>(540) 864-5156</t>
  </si>
  <si>
    <t>sdudding@tds.net</t>
  </si>
  <si>
    <t>Farmers &amp; Miners Bank</t>
  </si>
  <si>
    <t>William P. Sage, III</t>
  </si>
  <si>
    <t>(276) 546-4692</t>
  </si>
  <si>
    <t>bill@farmersandminersbank.com</t>
  </si>
  <si>
    <t>Farmers Bank</t>
  </si>
  <si>
    <t>Vernon Towler</t>
  </si>
  <si>
    <t>First Bank &amp; Trust Company</t>
  </si>
  <si>
    <t>W. Mark Nelson</t>
  </si>
  <si>
    <t>CEO &amp; Director</t>
  </si>
  <si>
    <t>First Bank, Virginia</t>
  </si>
  <si>
    <t>Scott C. Harvard</t>
  </si>
  <si>
    <t>(540) 465-9121</t>
  </si>
  <si>
    <t>sharvard@fbvirginia.com</t>
  </si>
  <si>
    <t xml:space="preserve">South </t>
  </si>
  <si>
    <t>First Carolina Bank</t>
  </si>
  <si>
    <t>Ronald A. Day</t>
  </si>
  <si>
    <t>First Community Bank NA</t>
  </si>
  <si>
    <t>Gary Mills</t>
  </si>
  <si>
    <t>(276) 326-9000 x6314</t>
  </si>
  <si>
    <t>grmills@fcbinc.com</t>
  </si>
  <si>
    <t>First National Bank</t>
  </si>
  <si>
    <t>Aubrey H. Hall, III</t>
  </si>
  <si>
    <t>(434) 369-3038</t>
  </si>
  <si>
    <t>toddhall@1stnatbk.com</t>
  </si>
  <si>
    <t>First Sentinel Bank</t>
  </si>
  <si>
    <t>John Thompson</t>
  </si>
  <si>
    <t>(276) 963-1545</t>
  </si>
  <si>
    <t>johnthompson@firstsentinelbank.com</t>
  </si>
  <si>
    <t>First US Bank</t>
  </si>
  <si>
    <t>Steven Thompson</t>
  </si>
  <si>
    <t>Freedom Bank of Virginia</t>
  </si>
  <si>
    <t>Joe Thomas</t>
  </si>
  <si>
    <t>Frontier Community Bank</t>
  </si>
  <si>
    <t>Alan J. Sweet</t>
  </si>
  <si>
    <t>(540) 932-9100 x320</t>
  </si>
  <si>
    <t>asweet@frontiercommunitybank.com</t>
  </si>
  <si>
    <t>Fulton Bank</t>
  </si>
  <si>
    <t>Dave Richardson</t>
  </si>
  <si>
    <t>FVCbank</t>
  </si>
  <si>
    <t>David Pijor</t>
  </si>
  <si>
    <t>(703) 436-3802</t>
  </si>
  <si>
    <t>dpijor@firstvirginiacommunitybank.com</t>
  </si>
  <si>
    <t>Highlands Community Bank</t>
  </si>
  <si>
    <t>Bryan Thompson</t>
  </si>
  <si>
    <t>(540) 962-2265</t>
  </si>
  <si>
    <t>bthompson@highlandscommunitybank.com</t>
  </si>
  <si>
    <t>HomeTrust Bank</t>
  </si>
  <si>
    <t>Dana L. Stonestreet</t>
  </si>
  <si>
    <t>Chairman, President, &amp; CEO</t>
  </si>
  <si>
    <t>(828) 350-3045</t>
  </si>
  <si>
    <t>danal.stonestreet@hometrustbanking.com</t>
  </si>
  <si>
    <t>Integrity Bank for Business</t>
  </si>
  <si>
    <t>Mike Ives</t>
  </si>
  <si>
    <t>John Marshall Bank</t>
  </si>
  <si>
    <t>Chris Bergstrom</t>
  </si>
  <si>
    <t>JPMorgan Chase Bank</t>
  </si>
  <si>
    <t>Dalen Harris</t>
  </si>
  <si>
    <t>Lee Bank &amp; Trust Company</t>
  </si>
  <si>
    <t>Robert Coffey</t>
  </si>
  <si>
    <t>(276) 546-2211</t>
  </si>
  <si>
    <t>rcoffey@lbtc.com</t>
  </si>
  <si>
    <t>Legacy Bank</t>
  </si>
  <si>
    <t>Donna Thompson</t>
  </si>
  <si>
    <t>M &amp; T Bank</t>
  </si>
  <si>
    <t>Melvin Watkins</t>
  </si>
  <si>
    <t>MainStreet Bank</t>
  </si>
  <si>
    <t>Jeff W. Dick</t>
  </si>
  <si>
    <t>Chairman, CEO and President</t>
  </si>
  <si>
    <t>(703) 481-4555</t>
  </si>
  <si>
    <t>jeff@mstreetbank.com</t>
  </si>
  <si>
    <t>Martinsville First Savings Bank</t>
  </si>
  <si>
    <t>Roger P. Hornsby</t>
  </si>
  <si>
    <t>(276) 638-8771</t>
  </si>
  <si>
    <t>rphffsl@comcast.net</t>
  </si>
  <si>
    <t>Miners Exchange Bank</t>
  </si>
  <si>
    <t>Charles R. Ward</t>
  </si>
  <si>
    <t>(276) 395-2230</t>
  </si>
  <si>
    <t>jibberward@mymeb.com</t>
  </si>
  <si>
    <t>Movement Bank</t>
  </si>
  <si>
    <t>David Rupp</t>
  </si>
  <si>
    <t>National Bank</t>
  </si>
  <si>
    <t>Brad Denardo</t>
  </si>
  <si>
    <t>(540) 951-6236</t>
  </si>
  <si>
    <t>bdenardo@nbbank.com</t>
  </si>
  <si>
    <t>National Capital Bank of Washington</t>
  </si>
  <si>
    <t>Randy Anderson</t>
  </si>
  <si>
    <t>(202) 546-8000 x6411</t>
  </si>
  <si>
    <t>randy.anderson@ncbwash.com</t>
  </si>
  <si>
    <t>New Horizon Bank</t>
  </si>
  <si>
    <t>Doug Mitchell</t>
  </si>
  <si>
    <t>New Peoples Bankshares, Inc</t>
  </si>
  <si>
    <t>Todd Asbury</t>
  </si>
  <si>
    <t>(276) 873-7002</t>
  </si>
  <si>
    <t>todd@newpeoplesbank.com</t>
  </si>
  <si>
    <t>Oak View National Bank</t>
  </si>
  <si>
    <t>Michael A. Ewing</t>
  </si>
  <si>
    <t>CEO &amp; Vice-Chairman</t>
  </si>
  <si>
    <t>(540) 359-7100</t>
  </si>
  <si>
    <t>Mewing@oakviewbank.com</t>
  </si>
  <si>
    <t>Old Dominion National Bank</t>
  </si>
  <si>
    <t>Mark S. Merrill</t>
  </si>
  <si>
    <t>President, CEO and Director</t>
  </si>
  <si>
    <t>(571) 250-5202</t>
  </si>
  <si>
    <t>mmerrill@odnbonline.com</t>
  </si>
  <si>
    <t>Old Point National Bank</t>
  </si>
  <si>
    <t>Rob Shuford</t>
  </si>
  <si>
    <t>(757) 728-1887</t>
  </si>
  <si>
    <t>rshuford@oldpoint.com</t>
  </si>
  <si>
    <t>Pendleton Community Bank</t>
  </si>
  <si>
    <t>Bill Loving</t>
  </si>
  <si>
    <t xml:space="preserve">Peoples Bank </t>
  </si>
  <si>
    <t>Phil Heldrich</t>
  </si>
  <si>
    <t>Pinnacle Bank</t>
  </si>
  <si>
    <t>David Allen</t>
  </si>
  <si>
    <t>SVP/Virginia Regional President</t>
  </si>
  <si>
    <t>(540) 769-8570</t>
  </si>
  <si>
    <t>David.Allen@pnfp.com</t>
  </si>
  <si>
    <t>Pioneer Bank</t>
  </si>
  <si>
    <t>Mark N. Reed</t>
  </si>
  <si>
    <t>(540) 860-4876</t>
  </si>
  <si>
    <t>mnreed@pioneerbks.com</t>
  </si>
  <si>
    <t>PNC Bank</t>
  </si>
  <si>
    <t>Thomas Lamb</t>
  </si>
  <si>
    <t>Senior Vice President</t>
  </si>
  <si>
    <t>(412) 762-7558</t>
  </si>
  <si>
    <t>thomas.lamb@pnc.com</t>
  </si>
  <si>
    <t>Powell Valley National Bank</t>
  </si>
  <si>
    <t>Leton Harding</t>
  </si>
  <si>
    <t>(276) 346-1414</t>
  </si>
  <si>
    <t>lharding@powellvalleybank.com</t>
  </si>
  <si>
    <t>Presidential Bank</t>
  </si>
  <si>
    <t>Bruce Cleveland</t>
  </si>
  <si>
    <t>(301) 652-1616</t>
  </si>
  <si>
    <t>bruce@presidential.com</t>
  </si>
  <si>
    <t>Ridge View Bank, a Div of CNB Bank</t>
  </si>
  <si>
    <t>Carrie McConnell</t>
  </si>
  <si>
    <t>Sandy Spring Bank</t>
  </si>
  <si>
    <t>Daniel J. Schrider</t>
  </si>
  <si>
    <t>(301) 774-8473</t>
  </si>
  <si>
    <t>dschrider@sandyspringbank.com</t>
  </si>
  <si>
    <t>Select Bank</t>
  </si>
  <si>
    <t>J. Michael Thomas</t>
  </si>
  <si>
    <t>(434) 455-1703</t>
  </si>
  <si>
    <t>mike@myselectbank.com</t>
  </si>
  <si>
    <t>Shore United Bank</t>
  </si>
  <si>
    <t>Tom Mears</t>
  </si>
  <si>
    <t>Skyline National Bank</t>
  </si>
  <si>
    <t>Blake Edwards</t>
  </si>
  <si>
    <t>Primis Bank</t>
  </si>
  <si>
    <t>Dennis Zember</t>
  </si>
  <si>
    <t>South State Bank</t>
  </si>
  <si>
    <t>Bobby Cowgill</t>
  </si>
  <si>
    <t>Richmond Market President</t>
  </si>
  <si>
    <t>(804) 412-7978</t>
  </si>
  <si>
    <t>robert.cowgill@parksterlingbank.com</t>
  </si>
  <si>
    <t>Southern Bank &amp; Trust</t>
  </si>
  <si>
    <t>Drew M. Covert</t>
  </si>
  <si>
    <t>(919) 658-7148</t>
  </si>
  <si>
    <t>Drew.covert@southernbank.com</t>
  </si>
  <si>
    <t>Summit Community Bank</t>
  </si>
  <si>
    <t>Charles Maddy</t>
  </si>
  <si>
    <t>(304) 530-0542</t>
  </si>
  <si>
    <t>cmaddy@summitfgi.com</t>
  </si>
  <si>
    <t>Surrey Bank &amp; Trust Company</t>
  </si>
  <si>
    <t>Edward C. Ashby, III</t>
  </si>
  <si>
    <t>(336) 783-3900</t>
  </si>
  <si>
    <t>tashby@surreybank.com</t>
  </si>
  <si>
    <t>TD Bank, NA</t>
  </si>
  <si>
    <t>Mike Dameron</t>
  </si>
  <si>
    <t>SVP, State &amp; Local Gov't Relations</t>
  </si>
  <si>
    <t>(301) 289-3577</t>
  </si>
  <si>
    <t>michael.dameron@td.com</t>
  </si>
  <si>
    <t>The Bank of Charlotte County</t>
  </si>
  <si>
    <t>Dexter Gilliam</t>
  </si>
  <si>
    <t>(434) 542-5111 x253</t>
  </si>
  <si>
    <t>dgilliam@bankofcharlotte.com</t>
  </si>
  <si>
    <t>The Bank of Marion</t>
  </si>
  <si>
    <t>Christopher B. Snodgrass</t>
  </si>
  <si>
    <t>The Bank of Southside Virginia</t>
  </si>
  <si>
    <t>John William Clements, II</t>
  </si>
  <si>
    <t>President/CEO</t>
  </si>
  <si>
    <t>The Blue Grass Valley Bank</t>
  </si>
  <si>
    <t>Tina G. Blagg</t>
  </si>
  <si>
    <t>(540) 468-1915</t>
  </si>
  <si>
    <t>tina@bluegrassvalleybank.com</t>
  </si>
  <si>
    <t>The Farmers Bank of Appomattox</t>
  </si>
  <si>
    <t>John R. Caldwell</t>
  </si>
  <si>
    <t>(434) 352-4020</t>
  </si>
  <si>
    <t>jcaldwell@thefarmersbankva.com</t>
  </si>
  <si>
    <t>Touchstone Bank</t>
  </si>
  <si>
    <t>James R. Black</t>
  </si>
  <si>
    <t>(434) 447-2265 ext.288</t>
  </si>
  <si>
    <t>james.black@myccb.bank</t>
  </si>
  <si>
    <t>TowneBank</t>
  </si>
  <si>
    <t>Brad Schwartz</t>
  </si>
  <si>
    <t>SEVP &amp; COO</t>
  </si>
  <si>
    <t>(757) 389-5111</t>
  </si>
  <si>
    <t>brad.schwartz@townebank.net</t>
  </si>
  <si>
    <t>Truist Bank</t>
  </si>
  <si>
    <t>Thomas Ransom</t>
  </si>
  <si>
    <t>Virginia East Regional President</t>
  </si>
  <si>
    <t>TruPoint Bank</t>
  </si>
  <si>
    <t>Barry C. Elswick</t>
  </si>
  <si>
    <t>President and CEO</t>
  </si>
  <si>
    <t>(276) 935-3447</t>
  </si>
  <si>
    <t>barry.elswick@trupointbank.com</t>
  </si>
  <si>
    <t>Trustar Bank</t>
  </si>
  <si>
    <t>Shaza Anderson</t>
  </si>
  <si>
    <t>United Bank</t>
  </si>
  <si>
    <t>Rick Adams</t>
  </si>
  <si>
    <t>(202) 496-4122</t>
  </si>
  <si>
    <t>rick.adams@bankwithunited.com</t>
  </si>
  <si>
    <t>Other</t>
  </si>
  <si>
    <t>VBA</t>
  </si>
  <si>
    <t>VCC Bank</t>
  </si>
  <si>
    <t>Amir Kirkwood</t>
  </si>
  <si>
    <t>(804) 344-5484 x137</t>
  </si>
  <si>
    <t>jhenderson@vccva.org</t>
  </si>
  <si>
    <t>Village Bank</t>
  </si>
  <si>
    <t>Jay Hendricks</t>
  </si>
  <si>
    <t>(804) 897-3900</t>
  </si>
  <si>
    <t>bfoster@villagebank.com</t>
  </si>
  <si>
    <t>Virginia National Bank</t>
  </si>
  <si>
    <t>Glenn W. Rust</t>
  </si>
  <si>
    <t>(434) 817-8649</t>
  </si>
  <si>
    <t>glenn.rust@vnb.com</t>
  </si>
  <si>
    <t>Virginia Partners Bank</t>
  </si>
  <si>
    <t>Lloyd Harrison</t>
  </si>
  <si>
    <t>(540) 899-2231</t>
  </si>
  <si>
    <t>lharrison@vapartnersbank.com</t>
  </si>
  <si>
    <t>Wells Fargo</t>
  </si>
  <si>
    <t>Mike Hughes</t>
  </si>
  <si>
    <t>Woodforest National Bank</t>
  </si>
  <si>
    <t>Michael Lomax</t>
  </si>
  <si>
    <t>Non-bank/non-member contributors</t>
  </si>
  <si>
    <t>Silent Auction income (included in figures above)</t>
  </si>
  <si>
    <t>Silent Auction income</t>
  </si>
  <si>
    <t>501 Expense</t>
  </si>
  <si>
    <t>2022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</si>
</sst>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4" xfId="0" applyBorder="1"/>
    <xf numFmtId="0" fontId="0" fillId="0" borderId="5" xfId="0" applyBorder="1"/>
    <xf numFmtId="164" fontId="0" fillId="0" borderId="4" xfId="0" applyNumberFormat="1" applyBorder="1"/>
    <xf numFmtId="164" fontId="0" fillId="0" borderId="5" xfId="0" applyNumberFormat="1" applyBorder="1"/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164" fontId="5" fillId="2" borderId="5" xfId="0" applyNumberFormat="1" applyFont="1" applyFill="1" applyBorder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3" fontId="0" fillId="0" borderId="0" xfId="0" applyNumberFormat="1"/>
    <xf numFmtId="0" fontId="0" fillId="0" borderId="5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1" fillId="0" borderId="5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1" applyNumberFormat="1" applyFont="1" applyFill="1" applyBorder="1"/>
    <xf numFmtId="164" fontId="1" fillId="0" borderId="6" xfId="1" applyNumberFormat="1" applyFont="1" applyFill="1" applyBorder="1" applyAlignment="1">
      <alignment horizontal="right"/>
    </xf>
    <xf numFmtId="41" fontId="1" fillId="0" borderId="7" xfId="1" applyNumberFormat="1" applyFont="1" applyFill="1" applyBorder="1"/>
    <xf numFmtId="164" fontId="1" fillId="0" borderId="7" xfId="1" applyNumberFormat="1" applyFont="1" applyFill="1" applyBorder="1"/>
    <xf numFmtId="164" fontId="1" fillId="0" borderId="4" xfId="1" applyNumberFormat="1" applyFont="1" applyFill="1" applyBorder="1" applyAlignment="1">
      <alignment horizontal="right"/>
    </xf>
    <xf numFmtId="164" fontId="1" fillId="0" borderId="5" xfId="1" applyNumberFormat="1" applyFont="1" applyFill="1" applyBorder="1"/>
    <xf numFmtId="164" fontId="0" fillId="0" borderId="6" xfId="1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0" fontId="6" fillId="0" borderId="0" xfId="0" applyFont="1"/>
    <xf numFmtId="0" fontId="0" fillId="3" borderId="0" xfId="0" applyFill="1"/>
    <xf numFmtId="0" fontId="7" fillId="0" borderId="0" xfId="0" applyFont="1"/>
    <xf numFmtId="0" fontId="0" fillId="0" borderId="0" xfId="1" applyNumberFormat="1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center"/>
    </xf>
    <xf numFmtId="41" fontId="1" fillId="0" borderId="0" xfId="1" applyNumberFormat="1" applyFont="1" applyFill="1" applyBorder="1"/>
    <xf numFmtId="164" fontId="0" fillId="0" borderId="4" xfId="1" applyNumberFormat="1" applyFont="1" applyFill="1" applyBorder="1" applyAlignment="1">
      <alignment horizontal="right"/>
    </xf>
    <xf numFmtId="3" fontId="0" fillId="3" borderId="0" xfId="0" applyNumberFormat="1" applyFill="1"/>
    <xf numFmtId="0" fontId="0" fillId="3" borderId="0" xfId="1" applyNumberFormat="1" applyFont="1" applyFill="1" applyBorder="1" applyAlignment="1">
      <alignment horizontal="center"/>
    </xf>
    <xf numFmtId="164" fontId="1" fillId="3" borderId="4" xfId="1" applyNumberFormat="1" applyFont="1" applyFill="1" applyBorder="1" applyAlignment="1">
      <alignment horizontal="center"/>
    </xf>
    <xf numFmtId="164" fontId="1" fillId="3" borderId="0" xfId="1" applyNumberFormat="1" applyFont="1" applyFill="1" applyBorder="1" applyAlignment="1">
      <alignment horizontal="center"/>
    </xf>
    <xf numFmtId="164" fontId="1" fillId="3" borderId="4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4" fontId="1" fillId="3" borderId="0" xfId="1" applyNumberFormat="1" applyFont="1" applyFill="1" applyBorder="1"/>
    <xf numFmtId="164" fontId="1" fillId="3" borderId="6" xfId="1" applyNumberFormat="1" applyFont="1" applyFill="1" applyBorder="1" applyAlignment="1">
      <alignment horizontal="right"/>
    </xf>
    <xf numFmtId="41" fontId="1" fillId="3" borderId="0" xfId="1" applyNumberFormat="1" applyFont="1" applyFill="1" applyBorder="1"/>
    <xf numFmtId="164" fontId="1" fillId="3" borderId="7" xfId="1" applyNumberFormat="1" applyFont="1" applyFill="1" applyBorder="1"/>
    <xf numFmtId="164" fontId="1" fillId="3" borderId="5" xfId="1" applyNumberFormat="1" applyFont="1" applyFill="1" applyBorder="1"/>
    <xf numFmtId="38" fontId="0" fillId="0" borderId="0" xfId="0" applyNumberFormat="1"/>
    <xf numFmtId="0" fontId="0" fillId="4" borderId="0" xfId="0" applyFill="1"/>
    <xf numFmtId="3" fontId="0" fillId="4" borderId="0" xfId="0" applyNumberFormat="1" applyFill="1"/>
    <xf numFmtId="0" fontId="0" fillId="4" borderId="0" xfId="1" applyNumberFormat="1" applyFont="1" applyFill="1" applyBorder="1" applyAlignment="1">
      <alignment horizontal="center"/>
    </xf>
    <xf numFmtId="164" fontId="1" fillId="4" borderId="4" xfId="1" applyNumberFormat="1" applyFont="1" applyFill="1" applyBorder="1" applyAlignment="1">
      <alignment horizontal="center"/>
    </xf>
    <xf numFmtId="164" fontId="1" fillId="4" borderId="0" xfId="1" applyNumberFormat="1" applyFont="1" applyFill="1" applyBorder="1" applyAlignment="1">
      <alignment horizontal="center"/>
    </xf>
    <xf numFmtId="164" fontId="1" fillId="4" borderId="4" xfId="1" applyNumberFormat="1" applyFont="1" applyFill="1" applyBorder="1" applyAlignment="1">
      <alignment horizontal="right"/>
    </xf>
    <xf numFmtId="164" fontId="1" fillId="4" borderId="0" xfId="1" applyNumberFormat="1" applyFont="1" applyFill="1" applyBorder="1" applyAlignment="1">
      <alignment horizontal="right"/>
    </xf>
    <xf numFmtId="164" fontId="1" fillId="4" borderId="0" xfId="1" applyNumberFormat="1" applyFont="1" applyFill="1" applyBorder="1"/>
    <xf numFmtId="164" fontId="1" fillId="4" borderId="6" xfId="1" applyNumberFormat="1" applyFont="1" applyFill="1" applyBorder="1" applyAlignment="1">
      <alignment horizontal="right"/>
    </xf>
    <xf numFmtId="41" fontId="1" fillId="4" borderId="0" xfId="1" applyNumberFormat="1" applyFont="1" applyFill="1" applyBorder="1"/>
    <xf numFmtId="164" fontId="1" fillId="4" borderId="7" xfId="1" applyNumberFormat="1" applyFont="1" applyFill="1" applyBorder="1"/>
    <xf numFmtId="164" fontId="1" fillId="4" borderId="5" xfId="1" applyNumberFormat="1" applyFont="1" applyFill="1" applyBorder="1"/>
    <xf numFmtId="38" fontId="6" fillId="0" borderId="0" xfId="0" applyNumberFormat="1" applyFont="1"/>
    <xf numFmtId="164" fontId="0" fillId="0" borderId="6" xfId="1" applyNumberFormat="1" applyFont="1" applyFill="1" applyBorder="1"/>
    <xf numFmtId="164" fontId="1" fillId="0" borderId="4" xfId="1" applyNumberFormat="1" applyFont="1" applyFill="1" applyBorder="1"/>
    <xf numFmtId="164" fontId="1" fillId="0" borderId="6" xfId="1" applyNumberFormat="1" applyFont="1" applyFill="1" applyBorder="1"/>
    <xf numFmtId="0" fontId="0" fillId="0" borderId="7" xfId="1" applyNumberFormat="1" applyFont="1" applyFill="1" applyBorder="1" applyAlignment="1">
      <alignment horizontal="center"/>
    </xf>
    <xf numFmtId="0" fontId="0" fillId="2" borderId="0" xfId="0" applyFill="1"/>
    <xf numFmtId="164" fontId="0" fillId="2" borderId="5" xfId="0" applyNumberFormat="1" applyFill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164" fontId="0" fillId="2" borderId="10" xfId="0" applyNumberFormat="1" applyFill="1" applyBorder="1"/>
    <xf numFmtId="164" fontId="0" fillId="0" borderId="0" xfId="0" applyNumberFormat="1" applyAlignment="1">
      <alignment horizontal="right"/>
    </xf>
    <xf numFmtId="37" fontId="0" fillId="2" borderId="10" xfId="0" applyNumberFormat="1" applyFill="1" applyBorder="1"/>
    <xf numFmtId="0" fontId="0" fillId="0" borderId="0" xfId="0" applyFill="1"/>
    <xf numFmtId="3" fontId="0" fillId="0" borderId="0" xfId="0" applyNumberFormat="1" applyFill="1"/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BA/Government%20Relations/BankPAC%20Campaign/2022/Heather_VBA%20BankPAC%20Spreadsheet%20with%20Formulas%202021%20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All Banks"/>
      <sheetName val="By Asset Category"/>
      <sheetName val="Asset Class Breakdown"/>
      <sheetName val="table"/>
      <sheetName val="Lookups"/>
    </sheetNames>
    <sheetDataSet>
      <sheetData sheetId="0"/>
      <sheetData sheetId="1" refreshError="1"/>
      <sheetData sheetId="2">
        <row r="1">
          <cell r="B1" t="str">
            <v>$800 Million - $2 Billion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mes.black@myccb.banm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mes.black@myccb.banm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D10FC-450E-4AEF-9D57-B9B755EFBF24}">
  <dimension ref="A1:E14"/>
  <sheetViews>
    <sheetView workbookViewId="0">
      <selection activeCell="E14" sqref="E14"/>
    </sheetView>
  </sheetViews>
  <sheetFormatPr defaultRowHeight="15" x14ac:dyDescent="0.25"/>
  <sheetData>
    <row r="1" spans="1:5" x14ac:dyDescent="0.25">
      <c r="A1" t="s">
        <v>0</v>
      </c>
      <c r="C1" t="s">
        <v>1</v>
      </c>
      <c r="E1" t="s">
        <v>2</v>
      </c>
    </row>
    <row r="2" spans="1:5" x14ac:dyDescent="0.25">
      <c r="A2">
        <v>200</v>
      </c>
      <c r="C2">
        <v>40</v>
      </c>
      <c r="E2">
        <v>100</v>
      </c>
    </row>
    <row r="3" spans="1:5" x14ac:dyDescent="0.25">
      <c r="C3">
        <v>25</v>
      </c>
      <c r="E3">
        <v>25</v>
      </c>
    </row>
    <row r="4" spans="1:5" x14ac:dyDescent="0.25">
      <c r="C4">
        <v>50</v>
      </c>
      <c r="E4">
        <v>25</v>
      </c>
    </row>
    <row r="5" spans="1:5" x14ac:dyDescent="0.25">
      <c r="C5">
        <v>20</v>
      </c>
      <c r="E5">
        <v>25</v>
      </c>
    </row>
    <row r="6" spans="1:5" x14ac:dyDescent="0.25">
      <c r="C6">
        <v>50</v>
      </c>
      <c r="E6">
        <v>100</v>
      </c>
    </row>
    <row r="7" spans="1:5" x14ac:dyDescent="0.25">
      <c r="C7">
        <v>5</v>
      </c>
      <c r="E7">
        <v>300</v>
      </c>
    </row>
    <row r="8" spans="1:5" x14ac:dyDescent="0.25">
      <c r="C8">
        <v>50</v>
      </c>
      <c r="E8">
        <v>75</v>
      </c>
    </row>
    <row r="9" spans="1:5" x14ac:dyDescent="0.25">
      <c r="C9">
        <v>200</v>
      </c>
      <c r="E9">
        <v>25</v>
      </c>
    </row>
    <row r="10" spans="1:5" x14ac:dyDescent="0.25">
      <c r="C10">
        <v>50</v>
      </c>
      <c r="E10">
        <v>25</v>
      </c>
    </row>
    <row r="11" spans="1:5" x14ac:dyDescent="0.25">
      <c r="C11">
        <v>300</v>
      </c>
      <c r="E11">
        <v>100</v>
      </c>
    </row>
    <row r="12" spans="1:5" x14ac:dyDescent="0.25">
      <c r="C12">
        <v>10</v>
      </c>
      <c r="E12">
        <v>100</v>
      </c>
    </row>
    <row r="13" spans="1:5" x14ac:dyDescent="0.25">
      <c r="C13">
        <v>10</v>
      </c>
      <c r="E13">
        <v>100</v>
      </c>
    </row>
    <row r="14" spans="1:5" x14ac:dyDescent="0.25">
      <c r="C14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EB28-6F53-4D47-9785-1D023E8FB875}">
  <dimension ref="A1:CJ107"/>
  <sheetViews>
    <sheetView topLeftCell="BT1" workbookViewId="0">
      <selection activeCell="CF15" sqref="CF15"/>
    </sheetView>
  </sheetViews>
  <sheetFormatPr defaultColWidth="8.85546875" defaultRowHeight="15" x14ac:dyDescent="0.25"/>
  <cols>
    <col min="1" max="1" width="4.5703125" customWidth="1"/>
    <col min="2" max="2" width="11.42578125" customWidth="1"/>
    <col min="3" max="3" width="17" bestFit="1" customWidth="1"/>
    <col min="4" max="4" width="44.42578125" bestFit="1" customWidth="1"/>
    <col min="5" max="5" width="23.85546875" bestFit="1" customWidth="1"/>
    <col min="6" max="7" width="8" customWidth="1"/>
    <col min="8" max="8" width="22.5703125" customWidth="1"/>
    <col min="9" max="9" width="29.140625" hidden="1" customWidth="1"/>
    <col min="10" max="10" width="20.42578125" hidden="1" customWidth="1"/>
    <col min="11" max="11" width="41.140625" hidden="1" customWidth="1"/>
    <col min="12" max="12" width="13.42578125" customWidth="1"/>
    <col min="13" max="13" width="10" hidden="1" customWidth="1"/>
    <col min="14" max="14" width="8.42578125" hidden="1" customWidth="1"/>
    <col min="15" max="15" width="10.140625" hidden="1" customWidth="1"/>
    <col min="16" max="16" width="10.42578125" hidden="1" customWidth="1"/>
    <col min="17" max="17" width="9" hidden="1" customWidth="1"/>
    <col min="18" max="18" width="10" hidden="1" customWidth="1"/>
    <col min="19" max="19" width="10.140625" hidden="1" customWidth="1"/>
    <col min="20" max="20" width="10.42578125" hidden="1" customWidth="1"/>
    <col min="21" max="21" width="8.140625" hidden="1" customWidth="1"/>
    <col min="22" max="22" width="9.42578125" hidden="1" customWidth="1"/>
    <col min="23" max="23" width="10" hidden="1" customWidth="1"/>
    <col min="24" max="24" width="9.42578125" hidden="1" customWidth="1"/>
    <col min="25" max="25" width="10.42578125" hidden="1" customWidth="1"/>
    <col min="26" max="26" width="8" hidden="1" customWidth="1"/>
    <col min="27" max="27" width="9" hidden="1" customWidth="1"/>
    <col min="28" max="28" width="10" hidden="1" customWidth="1"/>
    <col min="29" max="29" width="8.42578125" hidden="1" customWidth="1"/>
    <col min="30" max="31" width="10.140625" hidden="1" customWidth="1"/>
    <col min="32" max="32" width="9.85546875" hidden="1" customWidth="1"/>
    <col min="33" max="33" width="10.42578125" style="1" hidden="1" customWidth="1"/>
    <col min="34" max="34" width="9.42578125" style="1" hidden="1" customWidth="1"/>
    <col min="35" max="35" width="10.140625" style="1" hidden="1" customWidth="1"/>
    <col min="36" max="36" width="5.42578125" style="1" hidden="1" customWidth="1"/>
    <col min="37" max="37" width="10" style="1" hidden="1" customWidth="1"/>
    <col min="38" max="38" width="10.42578125" style="1" hidden="1" customWidth="1"/>
    <col min="39" max="39" width="9.42578125" style="1" hidden="1" customWidth="1"/>
    <col min="40" max="40" width="10.140625" style="1" hidden="1" customWidth="1"/>
    <col min="41" max="41" width="8.42578125" style="1" hidden="1" customWidth="1"/>
    <col min="42" max="42" width="10" style="1" hidden="1" customWidth="1"/>
    <col min="43" max="43" width="10.42578125" style="1" hidden="1" customWidth="1"/>
    <col min="44" max="44" width="9.42578125" style="1" hidden="1" customWidth="1"/>
    <col min="45" max="45" width="10.140625" style="1" hidden="1" customWidth="1"/>
    <col min="46" max="46" width="9.42578125" style="1" hidden="1" customWidth="1"/>
    <col min="47" max="47" width="10" style="1" hidden="1" customWidth="1"/>
    <col min="48" max="48" width="2.5703125" style="1" hidden="1" customWidth="1"/>
    <col min="49" max="49" width="9.42578125" style="1" hidden="1" customWidth="1"/>
    <col min="50" max="50" width="10.140625" style="1" hidden="1" customWidth="1"/>
    <col min="51" max="51" width="9.42578125" style="1" hidden="1" customWidth="1"/>
    <col min="52" max="53" width="10" style="1" hidden="1" customWidth="1"/>
    <col min="54" max="54" width="8.42578125" style="1" hidden="1" customWidth="1"/>
    <col min="55" max="55" width="9.85546875" style="1" hidden="1" customWidth="1"/>
    <col min="56" max="56" width="7.85546875" style="1" hidden="1" customWidth="1"/>
    <col min="57" max="57" width="9.85546875" style="1" hidden="1" customWidth="1"/>
    <col min="58" max="58" width="10.42578125" hidden="1" customWidth="1"/>
    <col min="59" max="59" width="9" hidden="1" customWidth="1"/>
    <col min="60" max="60" width="10.140625" hidden="1" customWidth="1"/>
    <col min="61" max="61" width="8.85546875" hidden="1" customWidth="1"/>
    <col min="62" max="62" width="9.42578125" hidden="1" customWidth="1"/>
    <col min="63" max="63" width="10.140625" hidden="1" customWidth="1"/>
    <col min="64" max="64" width="9.140625" hidden="1" customWidth="1"/>
    <col min="65" max="65" width="10" hidden="1" customWidth="1"/>
    <col min="66" max="66" width="9.140625" hidden="1" customWidth="1"/>
    <col min="67" max="67" width="10.42578125" hidden="1" customWidth="1"/>
    <col min="68" max="68" width="10.140625" customWidth="1"/>
    <col min="70" max="70" width="10.5703125" customWidth="1"/>
    <col min="72" max="83" width="10.42578125" customWidth="1"/>
  </cols>
  <sheetData>
    <row r="1" spans="2:88" x14ac:dyDescent="0.25">
      <c r="D1" t="s">
        <v>3</v>
      </c>
    </row>
    <row r="2" spans="2:88" ht="15.75" thickBot="1" x14ac:dyDescent="0.3">
      <c r="B2" s="2" t="s">
        <v>3</v>
      </c>
      <c r="C2" s="2"/>
    </row>
    <row r="3" spans="2:88" ht="18.75" x14ac:dyDescent="0.3">
      <c r="B3" t="s">
        <v>3</v>
      </c>
      <c r="L3" s="3"/>
      <c r="M3" s="78" t="s">
        <v>4</v>
      </c>
      <c r="N3" s="79"/>
      <c r="O3" s="79"/>
      <c r="P3" s="79"/>
      <c r="Q3" s="80"/>
      <c r="R3" s="78" t="s">
        <v>5</v>
      </c>
      <c r="S3" s="79"/>
      <c r="T3" s="79"/>
      <c r="U3" s="79"/>
      <c r="V3" s="80"/>
      <c r="W3" s="78" t="s">
        <v>6</v>
      </c>
      <c r="X3" s="79"/>
      <c r="Y3" s="79"/>
      <c r="Z3" s="79"/>
      <c r="AA3" s="80"/>
      <c r="AB3" s="78" t="s">
        <v>7</v>
      </c>
      <c r="AC3" s="79"/>
      <c r="AD3" s="79"/>
      <c r="AE3" s="79"/>
      <c r="AF3" s="80"/>
      <c r="AG3" s="75" t="s">
        <v>8</v>
      </c>
      <c r="AH3" s="76"/>
      <c r="AI3" s="76"/>
      <c r="AJ3" s="76"/>
      <c r="AK3" s="77"/>
      <c r="AL3" s="75" t="s">
        <v>9</v>
      </c>
      <c r="AM3" s="76"/>
      <c r="AN3" s="76"/>
      <c r="AO3" s="76"/>
      <c r="AP3" s="77"/>
      <c r="AQ3" s="75" t="s">
        <v>10</v>
      </c>
      <c r="AR3" s="76"/>
      <c r="AS3" s="76"/>
      <c r="AT3" s="76"/>
      <c r="AU3" s="77"/>
      <c r="AV3" s="75" t="s">
        <v>11</v>
      </c>
      <c r="AW3" s="76"/>
      <c r="AX3" s="76"/>
      <c r="AY3" s="76"/>
      <c r="AZ3" s="77"/>
      <c r="BA3" s="75" t="s">
        <v>12</v>
      </c>
      <c r="BB3" s="76"/>
      <c r="BC3" s="76"/>
      <c r="BD3" s="76"/>
      <c r="BE3" s="77"/>
      <c r="BF3" s="75" t="s">
        <v>13</v>
      </c>
      <c r="BG3" s="76"/>
      <c r="BH3" s="76"/>
      <c r="BI3" s="76"/>
      <c r="BJ3" s="77"/>
      <c r="BK3" s="75" t="s">
        <v>14</v>
      </c>
      <c r="BL3" s="76"/>
      <c r="BM3" s="76"/>
      <c r="BN3" s="76"/>
      <c r="BO3" s="77"/>
      <c r="BP3" s="75" t="s">
        <v>15</v>
      </c>
      <c r="BQ3" s="76"/>
      <c r="BR3" s="76"/>
      <c r="BS3" s="76"/>
      <c r="BT3" s="77"/>
      <c r="BU3" s="4"/>
      <c r="BV3" s="75" t="s">
        <v>16</v>
      </c>
      <c r="BW3" s="76"/>
      <c r="BX3" s="76"/>
      <c r="BY3" s="76"/>
      <c r="BZ3" s="77"/>
      <c r="CA3" s="75" t="s">
        <v>17</v>
      </c>
      <c r="CB3" s="76"/>
      <c r="CC3" s="76"/>
      <c r="CD3" s="76"/>
      <c r="CE3" s="77"/>
      <c r="CF3" s="75" t="s">
        <v>377</v>
      </c>
      <c r="CG3" s="76"/>
      <c r="CH3" s="76"/>
      <c r="CI3" s="76"/>
      <c r="CJ3" s="77"/>
    </row>
    <row r="4" spans="2:88" ht="16.5" customHeight="1" x14ac:dyDescent="0.25">
      <c r="M4" s="5"/>
      <c r="Q4" s="6"/>
      <c r="R4" s="5"/>
      <c r="V4" s="6"/>
      <c r="W4" s="5"/>
      <c r="AA4" s="6"/>
      <c r="AB4" s="5"/>
      <c r="AF4" s="6"/>
      <c r="AG4" s="7"/>
      <c r="AK4" s="8"/>
      <c r="AL4" s="7"/>
      <c r="AQ4" s="7"/>
      <c r="AU4" s="8"/>
      <c r="AV4" s="7"/>
      <c r="AZ4" s="8"/>
      <c r="BA4" s="7"/>
      <c r="BE4" s="8"/>
      <c r="BF4" s="7"/>
      <c r="BG4" s="1"/>
      <c r="BH4" s="1"/>
      <c r="BI4" s="1"/>
      <c r="BJ4" s="8"/>
      <c r="BK4" s="7"/>
      <c r="BL4" s="1"/>
      <c r="BM4" s="1"/>
      <c r="BN4" s="1"/>
      <c r="BO4" s="8"/>
      <c r="BP4" s="7"/>
      <c r="BQ4" s="1"/>
      <c r="BR4" s="1"/>
      <c r="BS4" s="1"/>
      <c r="BT4" s="8"/>
      <c r="BU4" s="1"/>
      <c r="BV4" s="7"/>
      <c r="BW4" s="1"/>
      <c r="BX4" s="1"/>
      <c r="BY4" s="1"/>
      <c r="BZ4" s="8"/>
      <c r="CA4" s="7"/>
      <c r="CB4" s="1"/>
      <c r="CC4" s="1"/>
      <c r="CD4" s="1"/>
      <c r="CE4" s="8"/>
      <c r="CF4" s="7"/>
      <c r="CG4" s="1"/>
      <c r="CH4" s="1"/>
      <c r="CI4" s="1"/>
      <c r="CJ4" s="8"/>
    </row>
    <row r="5" spans="2:88" s="9" customFormat="1" ht="48.75" customHeight="1" x14ac:dyDescent="0.25"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10" t="s">
        <v>28</v>
      </c>
      <c r="M5" s="11" t="s">
        <v>29</v>
      </c>
      <c r="N5" s="9" t="s">
        <v>30</v>
      </c>
      <c r="O5" s="9" t="s">
        <v>31</v>
      </c>
      <c r="P5" s="9" t="s">
        <v>32</v>
      </c>
      <c r="Q5" s="12" t="s">
        <v>33</v>
      </c>
      <c r="R5" s="11" t="s">
        <v>29</v>
      </c>
      <c r="S5" s="9" t="s">
        <v>30</v>
      </c>
      <c r="T5" s="9" t="s">
        <v>31</v>
      </c>
      <c r="U5" s="9" t="s">
        <v>32</v>
      </c>
      <c r="V5" s="12" t="s">
        <v>33</v>
      </c>
      <c r="W5" s="11" t="s">
        <v>29</v>
      </c>
      <c r="X5" s="9" t="s">
        <v>30</v>
      </c>
      <c r="Y5" s="9" t="s">
        <v>31</v>
      </c>
      <c r="Z5" s="9" t="s">
        <v>32</v>
      </c>
      <c r="AA5" s="12" t="s">
        <v>33</v>
      </c>
      <c r="AB5" s="11" t="s">
        <v>29</v>
      </c>
      <c r="AC5" s="9" t="s">
        <v>30</v>
      </c>
      <c r="AD5" s="9" t="s">
        <v>31</v>
      </c>
      <c r="AE5" s="9" t="s">
        <v>32</v>
      </c>
      <c r="AF5" s="12" t="s">
        <v>33</v>
      </c>
      <c r="AG5" s="13" t="s">
        <v>29</v>
      </c>
      <c r="AH5" s="14" t="s">
        <v>30</v>
      </c>
      <c r="AI5" s="14" t="s">
        <v>31</v>
      </c>
      <c r="AJ5" s="14" t="s">
        <v>32</v>
      </c>
      <c r="AK5" s="15" t="s">
        <v>33</v>
      </c>
      <c r="AL5" s="13" t="s">
        <v>29</v>
      </c>
      <c r="AM5" s="14" t="s">
        <v>30</v>
      </c>
      <c r="AN5" s="14" t="s">
        <v>31</v>
      </c>
      <c r="AO5" s="14" t="s">
        <v>32</v>
      </c>
      <c r="AP5" s="16" t="s">
        <v>33</v>
      </c>
      <c r="AQ5" s="13" t="s">
        <v>29</v>
      </c>
      <c r="AR5" s="14" t="s">
        <v>30</v>
      </c>
      <c r="AS5" s="14" t="s">
        <v>31</v>
      </c>
      <c r="AT5" s="14" t="s">
        <v>32</v>
      </c>
      <c r="AU5" s="15" t="s">
        <v>33</v>
      </c>
      <c r="AV5" s="13" t="s">
        <v>29</v>
      </c>
      <c r="AW5" s="14" t="s">
        <v>30</v>
      </c>
      <c r="AX5" s="14" t="s">
        <v>31</v>
      </c>
      <c r="AY5" s="14" t="s">
        <v>32</v>
      </c>
      <c r="AZ5" s="15" t="s">
        <v>33</v>
      </c>
      <c r="BA5" s="13" t="s">
        <v>29</v>
      </c>
      <c r="BB5" s="14" t="s">
        <v>30</v>
      </c>
      <c r="BC5" s="14" t="s">
        <v>31</v>
      </c>
      <c r="BD5" s="14" t="s">
        <v>32</v>
      </c>
      <c r="BE5" s="15" t="s">
        <v>33</v>
      </c>
      <c r="BF5" s="13" t="s">
        <v>29</v>
      </c>
      <c r="BG5" s="14" t="s">
        <v>30</v>
      </c>
      <c r="BH5" s="14" t="s">
        <v>31</v>
      </c>
      <c r="BI5" s="14" t="s">
        <v>32</v>
      </c>
      <c r="BJ5" s="15" t="s">
        <v>33</v>
      </c>
      <c r="BK5" s="13" t="s">
        <v>29</v>
      </c>
      <c r="BL5" s="14" t="s">
        <v>30</v>
      </c>
      <c r="BM5" s="14" t="s">
        <v>31</v>
      </c>
      <c r="BN5" s="14" t="s">
        <v>32</v>
      </c>
      <c r="BO5" s="15" t="s">
        <v>33</v>
      </c>
      <c r="BP5" s="13" t="s">
        <v>29</v>
      </c>
      <c r="BQ5" s="14" t="s">
        <v>30</v>
      </c>
      <c r="BR5" s="14" t="s">
        <v>31</v>
      </c>
      <c r="BS5" s="14" t="s">
        <v>32</v>
      </c>
      <c r="BT5" s="15" t="s">
        <v>33</v>
      </c>
      <c r="BU5" s="14" t="s">
        <v>34</v>
      </c>
      <c r="BV5" s="13" t="s">
        <v>29</v>
      </c>
      <c r="BW5" s="14" t="s">
        <v>30</v>
      </c>
      <c r="BX5" s="14" t="s">
        <v>31</v>
      </c>
      <c r="BY5" s="14" t="s">
        <v>32</v>
      </c>
      <c r="BZ5" s="15" t="s">
        <v>33</v>
      </c>
      <c r="CA5" s="13" t="s">
        <v>29</v>
      </c>
      <c r="CB5" s="14" t="s">
        <v>30</v>
      </c>
      <c r="CC5" s="14" t="s">
        <v>31</v>
      </c>
      <c r="CD5" s="14" t="s">
        <v>32</v>
      </c>
      <c r="CE5" s="15" t="s">
        <v>33</v>
      </c>
      <c r="CF5" s="13" t="s">
        <v>29</v>
      </c>
      <c r="CG5" s="14" t="s">
        <v>30</v>
      </c>
      <c r="CH5" s="14" t="s">
        <v>31</v>
      </c>
      <c r="CI5" s="14" t="s">
        <v>32</v>
      </c>
      <c r="CJ5" s="15" t="s">
        <v>33</v>
      </c>
    </row>
    <row r="6" spans="2:88" x14ac:dyDescent="0.25">
      <c r="B6" t="s">
        <v>35</v>
      </c>
      <c r="C6" s="17">
        <v>3189098000</v>
      </c>
      <c r="D6" t="s">
        <v>36</v>
      </c>
      <c r="E6" t="str">
        <f>+IF(C6="","",IF(C6&gt;10000000000,"Over $10 Billion",IF(C6&gt;2000000000,"$2 Billion - $10 Billion",IF(C6&gt;800000000,"$800 Million - $2 Billion",IF(C6&gt;350000000,"$350 Million - $800 Million","Less than $350 Million")))))</f>
        <v>$2 Billion - $10 Billion</v>
      </c>
      <c r="F6">
        <f>IF(C6="", "", COUNTIF($C$6:C6,"&gt;0"))</f>
        <v>1</v>
      </c>
      <c r="G6" t="str">
        <f>IF(E6&lt;&gt;'[1]By Asset Category'!$B$1,"",COUNTIF($E$6:E6,'[1]By Asset Category'!$B$1))</f>
        <v/>
      </c>
      <c r="H6" t="s">
        <v>37</v>
      </c>
      <c r="I6" t="s">
        <v>38</v>
      </c>
      <c r="J6" t="s">
        <v>39</v>
      </c>
      <c r="K6" t="s">
        <v>40</v>
      </c>
      <c r="L6" s="18"/>
      <c r="M6" s="19">
        <v>2275</v>
      </c>
      <c r="N6" s="19">
        <v>0</v>
      </c>
      <c r="O6" s="19">
        <v>0</v>
      </c>
      <c r="P6" s="19"/>
      <c r="Q6" s="20">
        <f>SUM(M6:P6)</f>
        <v>2275</v>
      </c>
      <c r="R6" s="19">
        <v>1850</v>
      </c>
      <c r="S6" s="19">
        <v>0</v>
      </c>
      <c r="T6" s="19">
        <v>0</v>
      </c>
      <c r="U6" s="19"/>
      <c r="V6" s="20">
        <f>SUM(R6:U6)</f>
        <v>1850</v>
      </c>
      <c r="W6" s="21">
        <v>2515</v>
      </c>
      <c r="X6" s="21">
        <v>0</v>
      </c>
      <c r="Y6" s="21">
        <v>1000</v>
      </c>
      <c r="Z6" s="21">
        <v>0</v>
      </c>
      <c r="AA6" s="22">
        <f>SUM(W6:Z6)</f>
        <v>3515</v>
      </c>
      <c r="AB6" s="23">
        <v>2775</v>
      </c>
      <c r="AC6" s="21">
        <v>600</v>
      </c>
      <c r="AD6" s="21">
        <v>1250</v>
      </c>
      <c r="AE6" s="21"/>
      <c r="AF6" s="24">
        <f>SUM(AB6:AE6)</f>
        <v>4625</v>
      </c>
      <c r="AG6" s="23">
        <v>2635</v>
      </c>
      <c r="AH6" s="21">
        <v>600</v>
      </c>
      <c r="AI6" s="21">
        <v>1250</v>
      </c>
      <c r="AJ6" s="21"/>
      <c r="AK6" s="25">
        <f>SUM(AG6:AJ6)</f>
        <v>4485</v>
      </c>
      <c r="AL6" s="23">
        <v>2405</v>
      </c>
      <c r="AM6" s="21">
        <v>1620</v>
      </c>
      <c r="AN6" s="21">
        <v>1250</v>
      </c>
      <c r="AO6" s="21"/>
      <c r="AP6" s="25">
        <f>SUM(AL6:AO6)</f>
        <v>5275</v>
      </c>
      <c r="AQ6" s="23">
        <v>4138</v>
      </c>
      <c r="AR6" s="21">
        <v>725</v>
      </c>
      <c r="AS6" s="21">
        <v>6000</v>
      </c>
      <c r="AT6" s="21"/>
      <c r="AU6" s="25">
        <f>SUM(AQ6:AT6)</f>
        <v>10863</v>
      </c>
      <c r="AV6" s="23">
        <v>7085</v>
      </c>
      <c r="AW6" s="21">
        <v>2250</v>
      </c>
      <c r="AX6" s="21">
        <v>2000</v>
      </c>
      <c r="AY6" s="21"/>
      <c r="AZ6" s="25">
        <f>SUM(AV6:AY6)</f>
        <v>11335</v>
      </c>
      <c r="BA6" s="23">
        <v>5978</v>
      </c>
      <c r="BB6" s="21">
        <v>2750</v>
      </c>
      <c r="BC6" s="21">
        <v>2250</v>
      </c>
      <c r="BD6" s="21"/>
      <c r="BE6" s="25">
        <f>SUM(BA6:BD6)</f>
        <v>10978</v>
      </c>
      <c r="BF6" s="23">
        <v>3946</v>
      </c>
      <c r="BG6" s="21">
        <v>3750</v>
      </c>
      <c r="BH6" s="21">
        <v>3000</v>
      </c>
      <c r="BI6" s="21"/>
      <c r="BJ6" s="25">
        <f>SUM(BF6:BH6)</f>
        <v>10696</v>
      </c>
      <c r="BK6" s="23">
        <v>7740</v>
      </c>
      <c r="BL6" s="21">
        <v>3250</v>
      </c>
      <c r="BM6" s="21">
        <f>3000</f>
        <v>3000</v>
      </c>
      <c r="BN6" s="21"/>
      <c r="BO6" s="25">
        <f>SUM(BK6:BM6)</f>
        <v>13990</v>
      </c>
      <c r="BP6" s="23">
        <v>8359.42</v>
      </c>
      <c r="BQ6" s="21">
        <v>5350</v>
      </c>
      <c r="BR6" s="21">
        <v>3000</v>
      </c>
      <c r="BS6" s="21"/>
      <c r="BT6" s="25">
        <f>SUM(BP6:BS6)</f>
        <v>16709.419999999998</v>
      </c>
      <c r="BU6" s="21">
        <v>1000</v>
      </c>
      <c r="BV6" s="26">
        <v>7235.18</v>
      </c>
      <c r="BW6" s="21">
        <v>4600</v>
      </c>
      <c r="BX6" s="21">
        <v>5000</v>
      </c>
      <c r="BY6" s="21"/>
      <c r="BZ6" s="27">
        <f t="shared" ref="BZ6:BZ71" si="0">SUM(BV6:BY6)</f>
        <v>16835.18</v>
      </c>
      <c r="CA6" s="26">
        <v>1450</v>
      </c>
      <c r="CB6" s="21">
        <v>5700</v>
      </c>
      <c r="CC6" s="21">
        <v>7500</v>
      </c>
      <c r="CD6" s="21"/>
      <c r="CE6" s="27">
        <f t="shared" ref="CE6:CE52" si="1">SUM(CA6:CD6)</f>
        <v>14650</v>
      </c>
      <c r="CF6" s="26">
        <v>1450</v>
      </c>
      <c r="CG6" s="21">
        <v>5700</v>
      </c>
      <c r="CH6" s="21">
        <v>7500</v>
      </c>
      <c r="CI6" s="21"/>
      <c r="CJ6" s="27">
        <f t="shared" ref="CJ6:CJ37" si="2">SUM(CF6:CI6)</f>
        <v>14650</v>
      </c>
    </row>
    <row r="7" spans="2:88" x14ac:dyDescent="0.25">
      <c r="B7" t="s">
        <v>41</v>
      </c>
      <c r="C7" s="17">
        <v>19953865000</v>
      </c>
      <c r="D7" t="s">
        <v>42</v>
      </c>
      <c r="E7" t="str">
        <f t="shared" ref="E7:E70" si="3">+IF(C7="","",IF(C7&gt;10000000000,"Over $10 Billion",IF(C7&gt;2000000000,"$2 Billion - $10 Billion",IF(C7&gt;800000000,"$800 Million - $2 Billion",IF(C7&gt;350000000,"$350 Million - $800 Million","Less than $350 Million")))))</f>
        <v>Over $10 Billion</v>
      </c>
      <c r="F7">
        <f>IF(C7="", "", COUNTIF($C$6:C7,"&gt;0"))</f>
        <v>2</v>
      </c>
      <c r="G7" t="str">
        <f>IF(E7&lt;&gt;'[1]By Asset Category'!$B$1,"",COUNTIF($E$6:E7,'[1]By Asset Category'!$B$1))</f>
        <v/>
      </c>
      <c r="H7" t="s">
        <v>43</v>
      </c>
      <c r="I7" t="s">
        <v>38</v>
      </c>
      <c r="J7" t="s">
        <v>44</v>
      </c>
      <c r="K7" t="s">
        <v>45</v>
      </c>
      <c r="L7" s="18" t="s">
        <v>46</v>
      </c>
      <c r="M7" s="19">
        <f>4881.17+684+900+1315+3617+3215</f>
        <v>14612.17</v>
      </c>
      <c r="N7" s="19">
        <f>1750+1200+600+600+3200+2975</f>
        <v>10325</v>
      </c>
      <c r="O7" s="19">
        <f>500+5000+20000</f>
        <v>25500</v>
      </c>
      <c r="P7" s="19"/>
      <c r="Q7" s="20">
        <f>SUM(M7:P7)</f>
        <v>50437.17</v>
      </c>
      <c r="R7" s="19">
        <f>5359+1190+725+845+3923+150+3175</f>
        <v>15367</v>
      </c>
      <c r="S7" s="19">
        <f>1950+350+800+600+1600+200+1975</f>
        <v>7475</v>
      </c>
      <c r="T7" s="19">
        <f>5000+7500</f>
        <v>12500</v>
      </c>
      <c r="U7" s="19"/>
      <c r="V7" s="20">
        <f>SUM(R7:U7)</f>
        <v>35342</v>
      </c>
      <c r="W7" s="21">
        <f>775+895+4735+2325+80+3635</f>
        <v>12445</v>
      </c>
      <c r="X7" s="21">
        <f>750+550+3000+1750+50+3650</f>
        <v>9750</v>
      </c>
      <c r="Y7" s="21">
        <f>7500+8250</f>
        <v>15750</v>
      </c>
      <c r="Z7" s="21"/>
      <c r="AA7" s="22">
        <f>SUM(W7:Z7)</f>
        <v>37945</v>
      </c>
      <c r="AB7" s="23">
        <f>20355+4395</f>
        <v>24750</v>
      </c>
      <c r="AC7" s="21">
        <f>8175+3300</f>
        <v>11475</v>
      </c>
      <c r="AD7" s="21">
        <f>10000+8250</f>
        <v>18250</v>
      </c>
      <c r="AE7" s="21"/>
      <c r="AF7" s="24">
        <f>SUM(AB7:AE7)</f>
        <v>54475</v>
      </c>
      <c r="AG7" s="23">
        <f>18438+4050</f>
        <v>22488</v>
      </c>
      <c r="AH7" s="21">
        <f>7350+5600</f>
        <v>12950</v>
      </c>
      <c r="AI7" s="21">
        <f>10000+10000</f>
        <v>20000</v>
      </c>
      <c r="AJ7" s="21"/>
      <c r="AK7" s="25">
        <f>SUM(AG7:AJ7)</f>
        <v>55438</v>
      </c>
      <c r="AL7" s="23">
        <f>17995+5795</f>
        <v>23790</v>
      </c>
      <c r="AM7" s="21">
        <f>7450+5700</f>
        <v>13150</v>
      </c>
      <c r="AN7" s="21">
        <f>10000+12500</f>
        <v>22500</v>
      </c>
      <c r="AO7" s="21"/>
      <c r="AP7" s="25">
        <f>SUM(AL7:AO7)</f>
        <v>59440</v>
      </c>
      <c r="AQ7" s="23">
        <v>21030</v>
      </c>
      <c r="AR7" s="21">
        <v>7000</v>
      </c>
      <c r="AS7" s="21">
        <v>25000</v>
      </c>
      <c r="AT7" s="21"/>
      <c r="AU7" s="25">
        <f>SUM(AQ7:AT7)</f>
        <v>53030</v>
      </c>
      <c r="AV7" s="23">
        <v>24584</v>
      </c>
      <c r="AW7" s="21">
        <v>9900</v>
      </c>
      <c r="AX7" s="21">
        <v>25000</v>
      </c>
      <c r="AY7" s="21"/>
      <c r="AZ7" s="25">
        <f>SUM(AV7:AY7)</f>
        <v>59484</v>
      </c>
      <c r="BA7" s="23">
        <v>24744</v>
      </c>
      <c r="BB7" s="21">
        <v>7500</v>
      </c>
      <c r="BC7" s="21">
        <v>25000</v>
      </c>
      <c r="BD7" s="21"/>
      <c r="BE7" s="25">
        <f>SUM(BA7:BD7)</f>
        <v>57244</v>
      </c>
      <c r="BF7" s="23">
        <v>26639</v>
      </c>
      <c r="BG7" s="21"/>
      <c r="BH7" s="21">
        <v>25000</v>
      </c>
      <c r="BI7" s="21"/>
      <c r="BJ7" s="25">
        <f>SUM(BF7:BI7)</f>
        <v>51639</v>
      </c>
      <c r="BK7" s="23">
        <v>31300</v>
      </c>
      <c r="BL7" s="21">
        <v>4900</v>
      </c>
      <c r="BM7" s="21">
        <v>25000</v>
      </c>
      <c r="BN7" s="21"/>
      <c r="BO7" s="25">
        <f>SUM(BK7:BN7)</f>
        <v>61200</v>
      </c>
      <c r="BP7" s="28">
        <v>6850</v>
      </c>
      <c r="BQ7" s="21">
        <v>2500</v>
      </c>
      <c r="BR7" s="21">
        <v>25000</v>
      </c>
      <c r="BS7" s="21"/>
      <c r="BT7" s="25">
        <f t="shared" ref="BT7:BT66" si="4">SUM(BP7:BS7)</f>
        <v>34350</v>
      </c>
      <c r="BU7" s="21">
        <v>1500</v>
      </c>
      <c r="BV7" s="26">
        <v>4600</v>
      </c>
      <c r="BW7" s="21">
        <v>3000</v>
      </c>
      <c r="BX7" s="21">
        <v>25000</v>
      </c>
      <c r="BY7" s="21"/>
      <c r="BZ7" s="27">
        <f t="shared" si="0"/>
        <v>32600</v>
      </c>
      <c r="CA7" s="26">
        <v>828</v>
      </c>
      <c r="CB7" s="21">
        <v>4000</v>
      </c>
      <c r="CC7" s="21">
        <v>30000</v>
      </c>
      <c r="CD7" s="21"/>
      <c r="CE7" s="27">
        <f t="shared" si="1"/>
        <v>34828</v>
      </c>
      <c r="CF7" s="26">
        <v>828</v>
      </c>
      <c r="CG7" s="21">
        <v>4000</v>
      </c>
      <c r="CH7" s="21">
        <v>30000</v>
      </c>
      <c r="CI7" s="21"/>
      <c r="CJ7" s="27">
        <f t="shared" si="2"/>
        <v>34828</v>
      </c>
    </row>
    <row r="8" spans="2:88" x14ac:dyDescent="0.25">
      <c r="B8" t="s">
        <v>47</v>
      </c>
      <c r="C8" s="17">
        <v>2350294000000</v>
      </c>
      <c r="D8" t="s">
        <v>48</v>
      </c>
      <c r="E8" t="str">
        <f t="shared" si="3"/>
        <v>Over $10 Billion</v>
      </c>
      <c r="F8">
        <f>IF(C8="", "", COUNTIF($C$6:C8,"&gt;0"))</f>
        <v>3</v>
      </c>
      <c r="G8" t="str">
        <f>IF(E8&lt;&gt;'[1]By Asset Category'!$B$1,"",COUNTIF($E$6:E8,'[1]By Asset Category'!$B$1))</f>
        <v/>
      </c>
      <c r="H8" t="s">
        <v>49</v>
      </c>
      <c r="I8" t="s">
        <v>50</v>
      </c>
      <c r="J8" t="s">
        <v>51</v>
      </c>
      <c r="K8" t="s">
        <v>52</v>
      </c>
      <c r="L8" s="18"/>
      <c r="M8" s="19"/>
      <c r="N8" s="19"/>
      <c r="O8" s="19"/>
      <c r="P8" s="19">
        <v>10000</v>
      </c>
      <c r="Q8" s="20">
        <f>SUM(M8:P8)</f>
        <v>10000</v>
      </c>
      <c r="R8" s="19"/>
      <c r="S8" s="19"/>
      <c r="T8" s="19"/>
      <c r="U8" s="19">
        <v>10000</v>
      </c>
      <c r="V8" s="20">
        <f>SUM(R8:U8)</f>
        <v>10000</v>
      </c>
      <c r="W8" s="21"/>
      <c r="X8" s="21"/>
      <c r="Y8" s="21"/>
      <c r="Z8" s="21">
        <v>10000</v>
      </c>
      <c r="AA8" s="22">
        <f>SUM(W8:Z8)</f>
        <v>10000</v>
      </c>
      <c r="AB8" s="23"/>
      <c r="AC8" s="21"/>
      <c r="AD8" s="21"/>
      <c r="AE8" s="21">
        <v>10000</v>
      </c>
      <c r="AF8" s="24">
        <f>SUM(AB8:AE8)</f>
        <v>10000</v>
      </c>
      <c r="AG8" s="23"/>
      <c r="AH8" s="21"/>
      <c r="AI8" s="21"/>
      <c r="AJ8" s="21">
        <v>10000</v>
      </c>
      <c r="AK8" s="25">
        <f>SUM(AG8:AJ8)</f>
        <v>10000</v>
      </c>
      <c r="AL8" s="23"/>
      <c r="AM8" s="21"/>
      <c r="AN8" s="21"/>
      <c r="AO8" s="21">
        <v>11000</v>
      </c>
      <c r="AP8" s="25">
        <f>SUM(AL8:AO8)</f>
        <v>11000</v>
      </c>
      <c r="AQ8" s="23"/>
      <c r="AR8" s="21"/>
      <c r="AS8" s="21"/>
      <c r="AT8" s="21"/>
      <c r="AU8" s="25">
        <f>SUM(AQ8:AT8)</f>
        <v>0</v>
      </c>
      <c r="AV8" s="23"/>
      <c r="AW8" s="21"/>
      <c r="AX8" s="21"/>
      <c r="AY8" s="21">
        <v>2000</v>
      </c>
      <c r="AZ8" s="25">
        <f>SUM(AV8:AY8)</f>
        <v>2000</v>
      </c>
      <c r="BA8" s="23"/>
      <c r="BB8" s="21"/>
      <c r="BC8" s="21"/>
      <c r="BD8" s="21"/>
      <c r="BE8" s="25">
        <f>SUM(BA8:BD8)</f>
        <v>0</v>
      </c>
      <c r="BF8" s="23"/>
      <c r="BG8" s="21"/>
      <c r="BH8" s="21"/>
      <c r="BI8" s="21">
        <v>2000</v>
      </c>
      <c r="BJ8" s="25"/>
      <c r="BK8" s="23"/>
      <c r="BL8" s="21"/>
      <c r="BM8" s="21"/>
      <c r="BN8" s="21"/>
      <c r="BO8" s="25"/>
      <c r="BP8" s="23"/>
      <c r="BQ8" s="21"/>
      <c r="BR8" s="21"/>
      <c r="BS8" s="21">
        <v>3000</v>
      </c>
      <c r="BT8" s="25">
        <f t="shared" si="4"/>
        <v>3000</v>
      </c>
      <c r="BU8" s="21"/>
      <c r="BV8" s="26"/>
      <c r="BW8" s="21"/>
      <c r="BX8" s="29" t="s">
        <v>3</v>
      </c>
      <c r="BY8" s="21">
        <v>3000</v>
      </c>
      <c r="BZ8" s="27">
        <f t="shared" si="0"/>
        <v>3000</v>
      </c>
      <c r="CA8" s="26"/>
      <c r="CB8" s="21"/>
      <c r="CC8" s="29">
        <v>3000</v>
      </c>
      <c r="CD8" s="21"/>
      <c r="CE8" s="27">
        <f t="shared" si="1"/>
        <v>3000</v>
      </c>
      <c r="CF8" s="26"/>
      <c r="CG8" s="21"/>
      <c r="CH8" s="29">
        <v>3000</v>
      </c>
      <c r="CI8" s="21"/>
      <c r="CJ8" s="27">
        <f t="shared" si="2"/>
        <v>3000</v>
      </c>
    </row>
    <row r="9" spans="2:88" x14ac:dyDescent="0.25">
      <c r="B9" t="s">
        <v>53</v>
      </c>
      <c r="C9" s="17">
        <v>645341000</v>
      </c>
      <c r="D9" t="s">
        <v>54</v>
      </c>
      <c r="E9" t="str">
        <f t="shared" si="3"/>
        <v>$350 Million - $800 Million</v>
      </c>
      <c r="F9">
        <f>IF(C9="", "", COUNTIF($C$6:C9,"&gt;0"))</f>
        <v>4</v>
      </c>
      <c r="G9" t="str">
        <f>IF(E9&lt;&gt;'[1]By Asset Category'!$B$1,"",COUNTIF($E$6:E9,'[1]By Asset Category'!$B$1))</f>
        <v/>
      </c>
      <c r="H9" t="s">
        <v>55</v>
      </c>
      <c r="I9" t="s">
        <v>38</v>
      </c>
      <c r="J9" t="s">
        <v>56</v>
      </c>
      <c r="K9" t="s">
        <v>57</v>
      </c>
      <c r="L9" s="18" t="s">
        <v>3</v>
      </c>
      <c r="M9" s="19">
        <v>1330</v>
      </c>
      <c r="N9" s="19">
        <v>700</v>
      </c>
      <c r="O9" s="19">
        <v>1000</v>
      </c>
      <c r="P9" s="19"/>
      <c r="Q9" s="20">
        <f>SUM(M9:P9)</f>
        <v>3030</v>
      </c>
      <c r="R9" s="19">
        <v>1930</v>
      </c>
      <c r="S9" s="19">
        <v>700</v>
      </c>
      <c r="T9" s="19">
        <v>1000</v>
      </c>
      <c r="U9" s="19"/>
      <c r="V9" s="20">
        <f>SUM(R9:U9)</f>
        <v>3630</v>
      </c>
      <c r="W9" s="21">
        <v>2260</v>
      </c>
      <c r="X9" s="21">
        <v>600</v>
      </c>
      <c r="Y9" s="21">
        <v>1000</v>
      </c>
      <c r="Z9" s="21">
        <v>0</v>
      </c>
      <c r="AA9" s="22">
        <f>SUM(W9:Z9)</f>
        <v>3860</v>
      </c>
      <c r="AB9" s="23">
        <v>1835</v>
      </c>
      <c r="AC9" s="21">
        <v>400</v>
      </c>
      <c r="AD9" s="21">
        <v>1000</v>
      </c>
      <c r="AE9" s="21"/>
      <c r="AF9" s="24">
        <f>SUM(AB9:AE9)</f>
        <v>3235</v>
      </c>
      <c r="AG9" s="23">
        <v>2685</v>
      </c>
      <c r="AH9" s="21">
        <v>700</v>
      </c>
      <c r="AI9" s="21">
        <v>1000</v>
      </c>
      <c r="AJ9" s="21"/>
      <c r="AK9" s="25">
        <f>SUM(AG9:AJ9)</f>
        <v>4385</v>
      </c>
      <c r="AL9" s="23">
        <v>1390</v>
      </c>
      <c r="AM9" s="21">
        <v>750</v>
      </c>
      <c r="AN9" s="21">
        <v>2700</v>
      </c>
      <c r="AO9" s="21"/>
      <c r="AP9" s="25">
        <f>SUM(AL9:AO9)</f>
        <v>4840</v>
      </c>
      <c r="AQ9" s="23">
        <v>1785</v>
      </c>
      <c r="AR9" s="21">
        <v>600</v>
      </c>
      <c r="AS9" s="21">
        <v>1000</v>
      </c>
      <c r="AT9" s="21"/>
      <c r="AU9" s="25">
        <f>SUM(AQ9:AT9)</f>
        <v>3385</v>
      </c>
      <c r="AV9" s="23">
        <v>1810</v>
      </c>
      <c r="AW9" s="21">
        <v>600</v>
      </c>
      <c r="AX9" s="21">
        <v>1000</v>
      </c>
      <c r="AY9" s="21"/>
      <c r="AZ9" s="25">
        <f>SUM(AV9:AY9)</f>
        <v>3410</v>
      </c>
      <c r="BA9" s="23">
        <v>1830</v>
      </c>
      <c r="BB9" s="21">
        <v>950</v>
      </c>
      <c r="BC9" s="21">
        <v>1000</v>
      </c>
      <c r="BD9" s="21"/>
      <c r="BE9" s="25">
        <f>SUM(BA9:BD9)</f>
        <v>3780</v>
      </c>
      <c r="BF9" s="23">
        <v>2300</v>
      </c>
      <c r="BG9" s="21">
        <v>850</v>
      </c>
      <c r="BH9" s="21">
        <v>1000</v>
      </c>
      <c r="BI9" s="21"/>
      <c r="BJ9" s="25">
        <f>SUM(BF9:BI9)</f>
        <v>4150</v>
      </c>
      <c r="BK9" s="23">
        <v>2210</v>
      </c>
      <c r="BL9" s="21">
        <v>950</v>
      </c>
      <c r="BM9" s="21">
        <v>1000</v>
      </c>
      <c r="BN9" s="21"/>
      <c r="BO9" s="25">
        <f>SUM(BK9:BN9)</f>
        <v>4160</v>
      </c>
      <c r="BP9" s="23">
        <v>2365</v>
      </c>
      <c r="BQ9" s="21">
        <v>1100</v>
      </c>
      <c r="BR9" s="21">
        <v>1000</v>
      </c>
      <c r="BS9" s="21"/>
      <c r="BT9" s="25">
        <f t="shared" si="4"/>
        <v>4465</v>
      </c>
      <c r="BU9" s="21">
        <v>250</v>
      </c>
      <c r="BV9" s="26">
        <v>2369</v>
      </c>
      <c r="BW9" s="21">
        <v>1100</v>
      </c>
      <c r="BX9" s="21">
        <v>1250</v>
      </c>
      <c r="BY9" s="21"/>
      <c r="BZ9" s="27">
        <f t="shared" si="0"/>
        <v>4719</v>
      </c>
      <c r="CA9" s="26">
        <v>2531</v>
      </c>
      <c r="CB9" s="21">
        <v>1500</v>
      </c>
      <c r="CC9" s="21">
        <v>1250</v>
      </c>
      <c r="CD9" s="21"/>
      <c r="CE9" s="27">
        <f t="shared" si="1"/>
        <v>5281</v>
      </c>
      <c r="CF9" s="26">
        <v>2531</v>
      </c>
      <c r="CG9" s="21">
        <v>1500</v>
      </c>
      <c r="CH9" s="21">
        <v>1250</v>
      </c>
      <c r="CI9" s="21"/>
      <c r="CJ9" s="27">
        <f t="shared" si="2"/>
        <v>5281</v>
      </c>
    </row>
    <row r="10" spans="2:88" x14ac:dyDescent="0.25">
      <c r="B10" t="s">
        <v>58</v>
      </c>
      <c r="C10" s="17">
        <v>671728000</v>
      </c>
      <c r="D10" t="s">
        <v>59</v>
      </c>
      <c r="E10" t="str">
        <f t="shared" si="3"/>
        <v>$350 Million - $800 Million</v>
      </c>
      <c r="F10">
        <f>IF(C10="", "", COUNTIF($C$6:C10,"&gt;0"))</f>
        <v>5</v>
      </c>
      <c r="G10" t="str">
        <f>IF(E10&lt;&gt;'[1]By Asset Category'!$B$1,"",COUNTIF($E$6:E10,'[1]By Asset Category'!$B$1))</f>
        <v/>
      </c>
      <c r="H10" t="s">
        <v>60</v>
      </c>
      <c r="I10" t="s">
        <v>38</v>
      </c>
      <c r="J10" t="s">
        <v>61</v>
      </c>
      <c r="K10" t="s">
        <v>62</v>
      </c>
      <c r="L10" s="18"/>
      <c r="M10" s="19"/>
      <c r="N10" s="19"/>
      <c r="O10" s="19"/>
      <c r="P10" s="19"/>
      <c r="Q10" s="20"/>
      <c r="R10" s="19"/>
      <c r="S10" s="19"/>
      <c r="T10" s="19"/>
      <c r="U10" s="19"/>
      <c r="V10" s="20"/>
      <c r="W10" s="21"/>
      <c r="X10" s="21"/>
      <c r="Y10" s="21"/>
      <c r="Z10" s="21"/>
      <c r="AA10" s="22"/>
      <c r="AB10" s="23"/>
      <c r="AC10" s="21"/>
      <c r="AD10" s="21"/>
      <c r="AE10" s="21"/>
      <c r="AF10" s="24"/>
      <c r="AG10" s="23"/>
      <c r="AH10" s="21"/>
      <c r="AI10" s="21"/>
      <c r="AJ10" s="21"/>
      <c r="AK10" s="25"/>
      <c r="AL10" s="23"/>
      <c r="AM10" s="21"/>
      <c r="AN10" s="21"/>
      <c r="AO10" s="21"/>
      <c r="AP10" s="25"/>
      <c r="AQ10" s="23"/>
      <c r="AR10" s="21"/>
      <c r="AS10" s="21"/>
      <c r="AT10" s="21"/>
      <c r="AU10" s="25"/>
      <c r="AV10" s="23"/>
      <c r="AW10" s="21"/>
      <c r="AX10" s="21"/>
      <c r="AY10" s="21"/>
      <c r="AZ10" s="25"/>
      <c r="BA10" s="23"/>
      <c r="BB10" s="21"/>
      <c r="BC10" s="21"/>
      <c r="BD10" s="21"/>
      <c r="BE10" s="25"/>
      <c r="BF10" s="23"/>
      <c r="BG10" s="21"/>
      <c r="BH10" s="21"/>
      <c r="BI10" s="21"/>
      <c r="BJ10" s="25"/>
      <c r="BK10" s="23"/>
      <c r="BL10" s="21"/>
      <c r="BM10" s="21"/>
      <c r="BN10" s="21"/>
      <c r="BO10" s="25"/>
      <c r="BP10" s="23"/>
      <c r="BQ10" s="21"/>
      <c r="BR10" s="21"/>
      <c r="BS10" s="21"/>
      <c r="BT10" s="25">
        <f t="shared" si="4"/>
        <v>0</v>
      </c>
      <c r="BU10" s="21"/>
      <c r="BV10" s="26"/>
      <c r="BW10" s="21"/>
      <c r="BX10" s="21"/>
      <c r="BY10" s="21"/>
      <c r="BZ10" s="27">
        <f t="shared" si="0"/>
        <v>0</v>
      </c>
      <c r="CA10" s="26"/>
      <c r="CB10" s="21"/>
      <c r="CC10" s="21"/>
      <c r="CD10" s="21"/>
      <c r="CE10" s="27">
        <f t="shared" si="1"/>
        <v>0</v>
      </c>
      <c r="CF10" s="26"/>
      <c r="CG10" s="21"/>
      <c r="CH10" s="21"/>
      <c r="CI10" s="21"/>
      <c r="CJ10" s="27">
        <f t="shared" si="2"/>
        <v>0</v>
      </c>
    </row>
    <row r="11" spans="2:88" x14ac:dyDescent="0.25">
      <c r="B11" t="s">
        <v>58</v>
      </c>
      <c r="C11" s="17">
        <v>1216368000</v>
      </c>
      <c r="D11" t="s">
        <v>63</v>
      </c>
      <c r="E11" t="str">
        <f t="shared" si="3"/>
        <v>$800 Million - $2 Billion</v>
      </c>
      <c r="F11">
        <f>IF(C11="", "", COUNTIF($C$6:C11,"&gt;0"))</f>
        <v>6</v>
      </c>
      <c r="G11">
        <f>IF(E11&lt;&gt;'[1]By Asset Category'!$B$1,"",COUNTIF($E$6:E11,'[1]By Asset Category'!$B$1))</f>
        <v>1</v>
      </c>
      <c r="H11" s="30" t="s">
        <v>64</v>
      </c>
      <c r="I11" t="s">
        <v>38</v>
      </c>
      <c r="L11" s="18" t="s">
        <v>46</v>
      </c>
      <c r="M11" s="19">
        <v>250</v>
      </c>
      <c r="N11" s="19">
        <v>550</v>
      </c>
      <c r="O11" s="19">
        <v>250</v>
      </c>
      <c r="P11" s="19"/>
      <c r="Q11" s="20">
        <f t="shared" ref="Q11:Q16" si="5">SUM(M11:P11)</f>
        <v>1050</v>
      </c>
      <c r="R11" s="19">
        <v>250</v>
      </c>
      <c r="S11" s="19">
        <v>100</v>
      </c>
      <c r="T11" s="19">
        <v>300</v>
      </c>
      <c r="U11" s="19"/>
      <c r="V11" s="20">
        <f t="shared" ref="V11:V16" si="6">SUM(R11:U11)</f>
        <v>650</v>
      </c>
      <c r="W11" s="21">
        <v>625</v>
      </c>
      <c r="X11" s="21">
        <v>0</v>
      </c>
      <c r="Y11" s="21">
        <v>750</v>
      </c>
      <c r="Z11" s="21">
        <v>0</v>
      </c>
      <c r="AA11" s="22">
        <f t="shared" ref="AA11:AA16" si="7">SUM(W11:Z11)</f>
        <v>1375</v>
      </c>
      <c r="AB11" s="23">
        <v>1975</v>
      </c>
      <c r="AC11" s="21">
        <v>900</v>
      </c>
      <c r="AD11" s="21">
        <v>1000</v>
      </c>
      <c r="AE11" s="21"/>
      <c r="AF11" s="24">
        <f t="shared" ref="AF11:AF16" si="8">SUM(AB11:AE11)</f>
        <v>3875</v>
      </c>
      <c r="AG11" s="23">
        <v>1765</v>
      </c>
      <c r="AH11" s="21">
        <v>800</v>
      </c>
      <c r="AI11" s="21">
        <v>1000</v>
      </c>
      <c r="AJ11" s="21"/>
      <c r="AK11" s="25">
        <f t="shared" ref="AK11:AK16" si="9">SUM(AG11:AJ11)</f>
        <v>3565</v>
      </c>
      <c r="AL11" s="23">
        <v>2030</v>
      </c>
      <c r="AM11" s="21">
        <v>700</v>
      </c>
      <c r="AN11" s="21">
        <v>1250</v>
      </c>
      <c r="AO11" s="21"/>
      <c r="AP11" s="25">
        <f t="shared" ref="AP11:AP16" si="10">SUM(AL11:AO11)</f>
        <v>3980</v>
      </c>
      <c r="AQ11" s="23">
        <v>2690</v>
      </c>
      <c r="AR11" s="21">
        <v>1700</v>
      </c>
      <c r="AS11" s="21">
        <v>1250</v>
      </c>
      <c r="AT11" s="21"/>
      <c r="AU11" s="25">
        <f t="shared" ref="AU11:AU16" si="11">SUM(AQ11:AT11)</f>
        <v>5640</v>
      </c>
      <c r="AV11" s="23">
        <v>1025</v>
      </c>
      <c r="AW11" s="21">
        <v>2050</v>
      </c>
      <c r="AX11" s="21">
        <v>1500</v>
      </c>
      <c r="AY11" s="21"/>
      <c r="AZ11" s="25">
        <f t="shared" ref="AZ11:AZ16" si="12">SUM(AV11:AY11)</f>
        <v>4575</v>
      </c>
      <c r="BA11" s="23">
        <v>1150</v>
      </c>
      <c r="BB11" s="21">
        <v>1150</v>
      </c>
      <c r="BC11" s="21">
        <v>1500</v>
      </c>
      <c r="BD11" s="21"/>
      <c r="BE11" s="25">
        <f t="shared" ref="BE11:BE16" si="13">SUM(BA11:BD11)</f>
        <v>3800</v>
      </c>
      <c r="BF11" s="23">
        <v>1225</v>
      </c>
      <c r="BG11" s="21">
        <v>750</v>
      </c>
      <c r="BH11" s="21">
        <v>1250</v>
      </c>
      <c r="BI11" s="21"/>
      <c r="BJ11" s="25">
        <f>SUM(BF11:BI11)</f>
        <v>3225</v>
      </c>
      <c r="BK11" s="23">
        <v>1245</v>
      </c>
      <c r="BL11" s="21">
        <v>1300</v>
      </c>
      <c r="BM11" s="21">
        <v>1500</v>
      </c>
      <c r="BN11" s="21"/>
      <c r="BO11" s="25">
        <f>SUM(BK11:BN11)</f>
        <v>4045</v>
      </c>
      <c r="BP11" s="23">
        <v>1400</v>
      </c>
      <c r="BQ11" s="21">
        <v>700</v>
      </c>
      <c r="BR11" s="21">
        <v>1650</v>
      </c>
      <c r="BS11" s="21"/>
      <c r="BT11" s="25">
        <f t="shared" si="4"/>
        <v>3750</v>
      </c>
      <c r="BU11" s="21">
        <v>500</v>
      </c>
      <c r="BV11" s="26">
        <v>2580</v>
      </c>
      <c r="BW11" s="21">
        <v>2625</v>
      </c>
      <c r="BX11" s="21">
        <v>2500</v>
      </c>
      <c r="BY11" s="21"/>
      <c r="BZ11" s="27">
        <f t="shared" si="0"/>
        <v>7705</v>
      </c>
      <c r="CA11" s="26">
        <v>2740</v>
      </c>
      <c r="CB11" s="21">
        <v>1375</v>
      </c>
      <c r="CC11" s="21">
        <v>5000</v>
      </c>
      <c r="CD11" s="21"/>
      <c r="CE11" s="27">
        <f t="shared" si="1"/>
        <v>9115</v>
      </c>
      <c r="CF11" s="26">
        <v>2740</v>
      </c>
      <c r="CG11" s="21">
        <v>1375</v>
      </c>
      <c r="CH11" s="21">
        <v>5000</v>
      </c>
      <c r="CI11" s="21"/>
      <c r="CJ11" s="27">
        <f t="shared" si="2"/>
        <v>9115</v>
      </c>
    </row>
    <row r="12" spans="2:88" x14ac:dyDescent="0.25">
      <c r="B12" t="s">
        <v>35</v>
      </c>
      <c r="C12" s="17">
        <v>908765000</v>
      </c>
      <c r="D12" t="s">
        <v>65</v>
      </c>
      <c r="E12" t="str">
        <f t="shared" si="3"/>
        <v>$800 Million - $2 Billion</v>
      </c>
      <c r="F12">
        <f>IF(C12="", "", COUNTIF($C$6:C12,"&gt;0"))</f>
        <v>7</v>
      </c>
      <c r="G12">
        <f>IF(E12&lt;&gt;'[1]By Asset Category'!$B$1,"",COUNTIF($E$6:E12,'[1]By Asset Category'!$B$1))</f>
        <v>2</v>
      </c>
      <c r="H12" t="s">
        <v>66</v>
      </c>
      <c r="I12" t="s">
        <v>38</v>
      </c>
      <c r="J12" t="s">
        <v>67</v>
      </c>
      <c r="K12" t="s">
        <v>68</v>
      </c>
      <c r="L12" s="18"/>
      <c r="M12" s="19">
        <v>0</v>
      </c>
      <c r="N12" s="19">
        <v>0</v>
      </c>
      <c r="O12" s="19">
        <v>0</v>
      </c>
      <c r="P12" s="19"/>
      <c r="Q12" s="20">
        <f t="shared" si="5"/>
        <v>0</v>
      </c>
      <c r="R12" s="19">
        <v>0</v>
      </c>
      <c r="S12" s="19">
        <v>0</v>
      </c>
      <c r="T12" s="19">
        <v>100</v>
      </c>
      <c r="U12" s="19"/>
      <c r="V12" s="20">
        <f t="shared" si="6"/>
        <v>100</v>
      </c>
      <c r="W12" s="21">
        <v>0</v>
      </c>
      <c r="X12" s="21">
        <v>0</v>
      </c>
      <c r="Y12" s="21">
        <v>0</v>
      </c>
      <c r="Z12" s="21">
        <v>0</v>
      </c>
      <c r="AA12" s="22">
        <f t="shared" si="7"/>
        <v>0</v>
      </c>
      <c r="AB12" s="23"/>
      <c r="AC12" s="21"/>
      <c r="AD12" s="21"/>
      <c r="AE12" s="21"/>
      <c r="AF12" s="24">
        <f t="shared" si="8"/>
        <v>0</v>
      </c>
      <c r="AG12" s="23"/>
      <c r="AH12" s="21"/>
      <c r="AI12" s="21"/>
      <c r="AJ12" s="21"/>
      <c r="AK12" s="25">
        <f t="shared" si="9"/>
        <v>0</v>
      </c>
      <c r="AL12" s="23"/>
      <c r="AM12" s="21"/>
      <c r="AN12" s="21"/>
      <c r="AO12" s="21"/>
      <c r="AP12" s="25">
        <f t="shared" si="10"/>
        <v>0</v>
      </c>
      <c r="AQ12" s="23"/>
      <c r="AR12" s="21"/>
      <c r="AS12" s="21">
        <v>3500</v>
      </c>
      <c r="AT12" s="21"/>
      <c r="AU12" s="25">
        <f t="shared" si="11"/>
        <v>3500</v>
      </c>
      <c r="AV12" s="23"/>
      <c r="AW12" s="21"/>
      <c r="AX12" s="21">
        <v>3500</v>
      </c>
      <c r="AY12" s="21"/>
      <c r="AZ12" s="25">
        <f t="shared" si="12"/>
        <v>3500</v>
      </c>
      <c r="BA12" s="23"/>
      <c r="BB12" s="21"/>
      <c r="BC12" s="21">
        <v>3500</v>
      </c>
      <c r="BD12" s="21"/>
      <c r="BE12" s="25">
        <f t="shared" si="13"/>
        <v>3500</v>
      </c>
      <c r="BF12" s="23"/>
      <c r="BG12" s="21"/>
      <c r="BH12" s="21">
        <v>3500</v>
      </c>
      <c r="BI12" s="21"/>
      <c r="BJ12" s="25">
        <f>SUM(BF12:BH12)</f>
        <v>3500</v>
      </c>
      <c r="BK12" s="23"/>
      <c r="BL12" s="21"/>
      <c r="BM12" s="21">
        <v>3500</v>
      </c>
      <c r="BN12" s="21"/>
      <c r="BO12" s="25">
        <f>SUM(BK12:BM12)</f>
        <v>3500</v>
      </c>
      <c r="BP12" s="23"/>
      <c r="BQ12" s="21"/>
      <c r="BR12" s="21">
        <v>3500</v>
      </c>
      <c r="BS12" s="21"/>
      <c r="BT12" s="25">
        <f t="shared" si="4"/>
        <v>3500</v>
      </c>
      <c r="BU12" s="21"/>
      <c r="BV12" s="26"/>
      <c r="BW12" s="21"/>
      <c r="BX12" s="21">
        <v>4000</v>
      </c>
      <c r="BY12" s="21"/>
      <c r="BZ12" s="27">
        <f t="shared" si="0"/>
        <v>4000</v>
      </c>
      <c r="CA12" s="26"/>
      <c r="CB12" s="21"/>
      <c r="CC12" s="21">
        <v>4000</v>
      </c>
      <c r="CD12" s="21"/>
      <c r="CE12" s="27">
        <f t="shared" si="1"/>
        <v>4000</v>
      </c>
      <c r="CF12" s="26"/>
      <c r="CG12" s="21"/>
      <c r="CH12" s="21">
        <v>4000</v>
      </c>
      <c r="CI12" s="21"/>
      <c r="CJ12" s="27">
        <f t="shared" si="2"/>
        <v>4000</v>
      </c>
    </row>
    <row r="13" spans="2:88" x14ac:dyDescent="0.25">
      <c r="B13" t="s">
        <v>35</v>
      </c>
      <c r="C13" s="17">
        <v>978410000</v>
      </c>
      <c r="D13" t="s">
        <v>69</v>
      </c>
      <c r="E13" t="str">
        <f t="shared" si="3"/>
        <v>$800 Million - $2 Billion</v>
      </c>
      <c r="F13">
        <f>IF(C13="", "", COUNTIF($C$6:C13,"&gt;0"))</f>
        <v>8</v>
      </c>
      <c r="G13">
        <f>IF(E13&lt;&gt;'[1]By Asset Category'!$B$1,"",COUNTIF($E$6:E13,'[1]By Asset Category'!$B$1))</f>
        <v>3</v>
      </c>
      <c r="H13" t="s">
        <v>70</v>
      </c>
      <c r="I13" t="s">
        <v>3</v>
      </c>
      <c r="J13" t="s">
        <v>3</v>
      </c>
      <c r="K13" t="s">
        <v>3</v>
      </c>
      <c r="L13" s="18" t="s">
        <v>3</v>
      </c>
      <c r="M13" s="19">
        <v>0</v>
      </c>
      <c r="N13" s="19">
        <v>1100</v>
      </c>
      <c r="O13" s="19">
        <v>1900</v>
      </c>
      <c r="P13" s="19"/>
      <c r="Q13" s="20">
        <f t="shared" si="5"/>
        <v>3000</v>
      </c>
      <c r="R13" s="19">
        <v>0</v>
      </c>
      <c r="S13" s="19">
        <v>925</v>
      </c>
      <c r="T13" s="19">
        <v>2100</v>
      </c>
      <c r="U13" s="19"/>
      <c r="V13" s="20">
        <f t="shared" si="6"/>
        <v>3025</v>
      </c>
      <c r="W13" s="21">
        <v>0</v>
      </c>
      <c r="X13" s="21">
        <v>1100</v>
      </c>
      <c r="Y13" s="21">
        <v>1300</v>
      </c>
      <c r="Z13" s="21"/>
      <c r="AA13" s="22">
        <f t="shared" si="7"/>
        <v>2400</v>
      </c>
      <c r="AB13" s="23"/>
      <c r="AC13" s="21">
        <v>1100</v>
      </c>
      <c r="AD13" s="21">
        <v>1400</v>
      </c>
      <c r="AE13" s="21"/>
      <c r="AF13" s="24">
        <f t="shared" si="8"/>
        <v>2500</v>
      </c>
      <c r="AG13" s="23"/>
      <c r="AH13" s="21"/>
      <c r="AI13" s="21">
        <v>2500</v>
      </c>
      <c r="AJ13" s="21"/>
      <c r="AK13" s="25">
        <f t="shared" si="9"/>
        <v>2500</v>
      </c>
      <c r="AL13" s="23">
        <v>200</v>
      </c>
      <c r="AM13" s="21">
        <v>1100</v>
      </c>
      <c r="AN13" s="21">
        <v>2000</v>
      </c>
      <c r="AO13" s="21"/>
      <c r="AP13" s="25">
        <f t="shared" si="10"/>
        <v>3300</v>
      </c>
      <c r="AQ13" s="23">
        <v>500</v>
      </c>
      <c r="AR13" s="21">
        <v>700</v>
      </c>
      <c r="AS13" s="21">
        <v>2000</v>
      </c>
      <c r="AT13" s="21"/>
      <c r="AU13" s="25">
        <f t="shared" si="11"/>
        <v>3200</v>
      </c>
      <c r="AV13" s="23">
        <v>400</v>
      </c>
      <c r="AW13" s="21">
        <v>900</v>
      </c>
      <c r="AX13" s="21">
        <v>2000</v>
      </c>
      <c r="AY13" s="21"/>
      <c r="AZ13" s="25">
        <f t="shared" si="12"/>
        <v>3300</v>
      </c>
      <c r="BA13" s="23">
        <v>400</v>
      </c>
      <c r="BB13" s="21">
        <v>900</v>
      </c>
      <c r="BC13" s="21">
        <v>2200</v>
      </c>
      <c r="BD13" s="21"/>
      <c r="BE13" s="25">
        <f t="shared" si="13"/>
        <v>3500</v>
      </c>
      <c r="BF13" s="23">
        <v>300</v>
      </c>
      <c r="BG13" s="21">
        <v>1000</v>
      </c>
      <c r="BH13" s="21">
        <v>2200</v>
      </c>
      <c r="BI13" s="21"/>
      <c r="BJ13" s="25">
        <f>SUM(BF13:BH13)</f>
        <v>3500</v>
      </c>
      <c r="BK13" s="23">
        <v>400</v>
      </c>
      <c r="BL13" s="21">
        <v>900</v>
      </c>
      <c r="BM13" s="21">
        <v>2200</v>
      </c>
      <c r="BN13" s="21"/>
      <c r="BO13" s="25">
        <f>SUM(BK13:BM13)</f>
        <v>3500</v>
      </c>
      <c r="BP13" s="23">
        <v>400</v>
      </c>
      <c r="BQ13" s="21">
        <v>900</v>
      </c>
      <c r="BR13" s="21">
        <v>3700</v>
      </c>
      <c r="BS13" s="21"/>
      <c r="BT13" s="25">
        <f t="shared" si="4"/>
        <v>5000</v>
      </c>
      <c r="BU13" s="21">
        <v>100</v>
      </c>
      <c r="BV13" s="26"/>
      <c r="BW13" s="21"/>
      <c r="BX13" s="21">
        <v>5000</v>
      </c>
      <c r="BY13" s="21"/>
      <c r="BZ13" s="27">
        <f t="shared" si="0"/>
        <v>5000</v>
      </c>
      <c r="CA13" s="26"/>
      <c r="CB13" s="21"/>
      <c r="CC13" s="21">
        <v>5000</v>
      </c>
      <c r="CD13" s="21"/>
      <c r="CE13" s="27">
        <f t="shared" si="1"/>
        <v>5000</v>
      </c>
      <c r="CF13" s="26"/>
      <c r="CG13" s="21"/>
      <c r="CH13" s="21">
        <v>5000</v>
      </c>
      <c r="CI13" s="21"/>
      <c r="CJ13" s="27">
        <f t="shared" si="2"/>
        <v>5000</v>
      </c>
    </row>
    <row r="14" spans="2:88" x14ac:dyDescent="0.25">
      <c r="B14" t="s">
        <v>35</v>
      </c>
      <c r="C14" s="17">
        <v>2747488000</v>
      </c>
      <c r="D14" t="s">
        <v>71</v>
      </c>
      <c r="E14" t="str">
        <f t="shared" si="3"/>
        <v>$2 Billion - $10 Billion</v>
      </c>
      <c r="F14">
        <f>IF(C14="", "", COUNTIF($C$6:C14,"&gt;0"))</f>
        <v>9</v>
      </c>
      <c r="G14" t="str">
        <f>IF(E14&lt;&gt;'[1]By Asset Category'!$B$1,"",COUNTIF($E$6:E14,'[1]By Asset Category'!$B$1))</f>
        <v/>
      </c>
      <c r="H14" t="s">
        <v>72</v>
      </c>
      <c r="I14" t="s">
        <v>38</v>
      </c>
      <c r="J14" t="s">
        <v>73</v>
      </c>
      <c r="K14" t="s">
        <v>74</v>
      </c>
      <c r="L14" s="18" t="s">
        <v>3</v>
      </c>
      <c r="M14" s="19">
        <v>1450</v>
      </c>
      <c r="N14" s="19">
        <v>700</v>
      </c>
      <c r="O14" s="19">
        <v>0</v>
      </c>
      <c r="P14" s="19"/>
      <c r="Q14" s="20">
        <f t="shared" si="5"/>
        <v>2150</v>
      </c>
      <c r="R14" s="19">
        <v>1460</v>
      </c>
      <c r="S14" s="19">
        <v>700</v>
      </c>
      <c r="T14" s="19">
        <v>250</v>
      </c>
      <c r="U14" s="19"/>
      <c r="V14" s="20">
        <f t="shared" si="6"/>
        <v>2410</v>
      </c>
      <c r="W14" s="21">
        <v>1275</v>
      </c>
      <c r="X14" s="21">
        <v>675</v>
      </c>
      <c r="Y14" s="21">
        <v>250</v>
      </c>
      <c r="Z14" s="21"/>
      <c r="AA14" s="22">
        <f t="shared" si="7"/>
        <v>2200</v>
      </c>
      <c r="AB14" s="23">
        <v>1010</v>
      </c>
      <c r="AC14" s="21">
        <v>1025</v>
      </c>
      <c r="AD14" s="21">
        <v>500</v>
      </c>
      <c r="AE14" s="21"/>
      <c r="AF14" s="24">
        <f t="shared" si="8"/>
        <v>2535</v>
      </c>
      <c r="AG14" s="23">
        <v>1535</v>
      </c>
      <c r="AH14" s="21">
        <v>1825</v>
      </c>
      <c r="AI14" s="21">
        <v>500</v>
      </c>
      <c r="AJ14" s="21"/>
      <c r="AK14" s="25">
        <f t="shared" si="9"/>
        <v>3860</v>
      </c>
      <c r="AL14" s="23">
        <v>1625</v>
      </c>
      <c r="AM14" s="21">
        <v>1725</v>
      </c>
      <c r="AN14" s="21">
        <v>1000</v>
      </c>
      <c r="AO14" s="21"/>
      <c r="AP14" s="25">
        <f t="shared" si="10"/>
        <v>4350</v>
      </c>
      <c r="AQ14" s="23">
        <v>2630</v>
      </c>
      <c r="AR14" s="21">
        <v>1875</v>
      </c>
      <c r="AS14" s="21">
        <v>500</v>
      </c>
      <c r="AT14" s="21"/>
      <c r="AU14" s="25">
        <f t="shared" si="11"/>
        <v>5005</v>
      </c>
      <c r="AV14" s="23">
        <v>900</v>
      </c>
      <c r="AW14" s="21">
        <v>1875</v>
      </c>
      <c r="AX14" s="21">
        <v>500</v>
      </c>
      <c r="AY14" s="21"/>
      <c r="AZ14" s="25">
        <f t="shared" si="12"/>
        <v>3275</v>
      </c>
      <c r="BA14" s="23">
        <v>2200</v>
      </c>
      <c r="BB14" s="21">
        <v>2100</v>
      </c>
      <c r="BC14" s="21">
        <v>2500</v>
      </c>
      <c r="BD14" s="21"/>
      <c r="BE14" s="25">
        <f t="shared" si="13"/>
        <v>6800</v>
      </c>
      <c r="BF14" s="23">
        <v>2785</v>
      </c>
      <c r="BG14" s="21">
        <v>2025</v>
      </c>
      <c r="BH14" s="21">
        <v>3500</v>
      </c>
      <c r="BI14" s="21"/>
      <c r="BJ14" s="25">
        <f>SUM(BF14:BH14)</f>
        <v>8310</v>
      </c>
      <c r="BK14" s="23">
        <v>2025</v>
      </c>
      <c r="BL14" s="21"/>
      <c r="BM14" s="21">
        <v>3500</v>
      </c>
      <c r="BN14" s="21"/>
      <c r="BO14" s="25">
        <f>SUM(BK14:BM14)</f>
        <v>5525</v>
      </c>
      <c r="BP14" s="23">
        <v>2825</v>
      </c>
      <c r="BQ14" s="21">
        <v>2100</v>
      </c>
      <c r="BR14" s="21">
        <v>2500</v>
      </c>
      <c r="BS14" s="21"/>
      <c r="BT14" s="25">
        <f t="shared" si="4"/>
        <v>7425</v>
      </c>
      <c r="BU14" s="21"/>
      <c r="BV14" s="26"/>
      <c r="BW14" s="21"/>
      <c r="BX14" s="21"/>
      <c r="BY14" s="21"/>
      <c r="BZ14" s="27">
        <f t="shared" si="0"/>
        <v>0</v>
      </c>
      <c r="CA14" s="26">
        <v>750</v>
      </c>
      <c r="CB14" s="21">
        <v>900</v>
      </c>
      <c r="CC14" s="21">
        <v>2500</v>
      </c>
      <c r="CD14" s="21"/>
      <c r="CE14" s="27">
        <f t="shared" si="1"/>
        <v>4150</v>
      </c>
      <c r="CF14" s="26">
        <v>750</v>
      </c>
      <c r="CG14" s="21">
        <v>900</v>
      </c>
      <c r="CH14" s="21">
        <v>2500</v>
      </c>
      <c r="CI14" s="21"/>
      <c r="CJ14" s="27">
        <f t="shared" si="2"/>
        <v>4150</v>
      </c>
    </row>
    <row r="15" spans="2:88" x14ac:dyDescent="0.25">
      <c r="B15" t="s">
        <v>58</v>
      </c>
      <c r="C15" s="17">
        <v>3554803000</v>
      </c>
      <c r="D15" t="s">
        <v>75</v>
      </c>
      <c r="E15" t="str">
        <f t="shared" si="3"/>
        <v>$2 Billion - $10 Billion</v>
      </c>
      <c r="F15">
        <f>IF(C15="", "", COUNTIF($C$6:C15,"&gt;0"))</f>
        <v>10</v>
      </c>
      <c r="G15" t="str">
        <f>IF(E15&lt;&gt;'[1]By Asset Category'!$B$1,"",COUNTIF($E$6:E15,'[1]By Asset Category'!$B$1))</f>
        <v/>
      </c>
      <c r="H15" s="30" t="s">
        <v>76</v>
      </c>
      <c r="I15" t="s">
        <v>38</v>
      </c>
      <c r="L15" s="18"/>
      <c r="M15" s="19">
        <v>1335</v>
      </c>
      <c r="N15" s="19">
        <v>5250</v>
      </c>
      <c r="O15" s="19">
        <v>0</v>
      </c>
      <c r="P15" s="19"/>
      <c r="Q15" s="20">
        <f t="shared" si="5"/>
        <v>6585</v>
      </c>
      <c r="R15" s="19">
        <v>1780</v>
      </c>
      <c r="S15" s="19">
        <v>3100</v>
      </c>
      <c r="T15" s="19">
        <v>0</v>
      </c>
      <c r="U15" s="19"/>
      <c r="V15" s="20">
        <f t="shared" si="6"/>
        <v>4880</v>
      </c>
      <c r="W15" s="21">
        <v>1755</v>
      </c>
      <c r="X15" s="21">
        <v>3450</v>
      </c>
      <c r="Y15" s="21">
        <v>0</v>
      </c>
      <c r="Z15" s="21"/>
      <c r="AA15" s="22">
        <f t="shared" si="7"/>
        <v>5205</v>
      </c>
      <c r="AB15" s="23">
        <v>800</v>
      </c>
      <c r="AC15" s="21">
        <v>5400</v>
      </c>
      <c r="AD15" s="21"/>
      <c r="AE15" s="21"/>
      <c r="AF15" s="24">
        <f t="shared" si="8"/>
        <v>6200</v>
      </c>
      <c r="AG15" s="23">
        <v>1475</v>
      </c>
      <c r="AH15" s="21">
        <v>5000</v>
      </c>
      <c r="AI15" s="21"/>
      <c r="AJ15" s="21"/>
      <c r="AK15" s="25">
        <f t="shared" si="9"/>
        <v>6475</v>
      </c>
      <c r="AL15" s="23">
        <v>1845</v>
      </c>
      <c r="AM15" s="21">
        <v>4250</v>
      </c>
      <c r="AN15" s="21"/>
      <c r="AO15" s="21"/>
      <c r="AP15" s="25">
        <f t="shared" si="10"/>
        <v>6095</v>
      </c>
      <c r="AQ15" s="23"/>
      <c r="AR15" s="21"/>
      <c r="AS15" s="21"/>
      <c r="AT15" s="21"/>
      <c r="AU15" s="25">
        <f t="shared" si="11"/>
        <v>0</v>
      </c>
      <c r="AV15" s="23"/>
      <c r="AW15" s="21"/>
      <c r="AX15" s="21"/>
      <c r="AY15" s="21"/>
      <c r="AZ15" s="25">
        <f t="shared" si="12"/>
        <v>0</v>
      </c>
      <c r="BA15" s="23"/>
      <c r="BB15" s="21"/>
      <c r="BC15" s="21"/>
      <c r="BD15" s="21"/>
      <c r="BE15" s="25">
        <f t="shared" si="13"/>
        <v>0</v>
      </c>
      <c r="BF15" s="23"/>
      <c r="BG15" s="21"/>
      <c r="BH15" s="21"/>
      <c r="BI15" s="21"/>
      <c r="BJ15" s="25">
        <f>SUM(BF15:BI15)</f>
        <v>0</v>
      </c>
      <c r="BK15" s="23">
        <v>250</v>
      </c>
      <c r="BL15" s="21"/>
      <c r="BM15" s="21"/>
      <c r="BN15" s="21"/>
      <c r="BO15" s="25">
        <f>SUM(BK15:BN15)</f>
        <v>250</v>
      </c>
      <c r="BP15" s="23"/>
      <c r="BQ15" s="21"/>
      <c r="BR15" s="21"/>
      <c r="BS15" s="21"/>
      <c r="BT15" s="25">
        <f t="shared" si="4"/>
        <v>0</v>
      </c>
      <c r="BU15" s="21"/>
      <c r="BV15" s="26">
        <v>1750</v>
      </c>
      <c r="BW15" s="21"/>
      <c r="BX15" s="21">
        <v>5000</v>
      </c>
      <c r="BY15" s="21"/>
      <c r="BZ15" s="27">
        <f t="shared" si="0"/>
        <v>6750</v>
      </c>
      <c r="CA15" s="26">
        <v>500</v>
      </c>
      <c r="CB15" s="21">
        <v>500</v>
      </c>
      <c r="CC15" s="21">
        <v>5000</v>
      </c>
      <c r="CD15" s="21"/>
      <c r="CE15" s="27">
        <f t="shared" si="1"/>
        <v>6000</v>
      </c>
      <c r="CF15" s="26">
        <v>500</v>
      </c>
      <c r="CG15" s="21">
        <v>500</v>
      </c>
      <c r="CH15" s="21">
        <v>5000</v>
      </c>
      <c r="CI15" s="21"/>
      <c r="CJ15" s="27">
        <f t="shared" si="2"/>
        <v>6000</v>
      </c>
    </row>
    <row r="16" spans="2:88" x14ac:dyDescent="0.25">
      <c r="B16" t="s">
        <v>41</v>
      </c>
      <c r="C16" s="17">
        <v>2137147000</v>
      </c>
      <c r="D16" t="s">
        <v>77</v>
      </c>
      <c r="E16" t="str">
        <f t="shared" si="3"/>
        <v>$2 Billion - $10 Billion</v>
      </c>
      <c r="F16">
        <f>IF(C16="", "", COUNTIF($C$6:C16,"&gt;0"))</f>
        <v>11</v>
      </c>
      <c r="G16" t="str">
        <f>IF(E16&lt;&gt;'[1]By Asset Category'!$B$1,"",COUNTIF($E$6:E16,'[1]By Asset Category'!$B$1))</f>
        <v/>
      </c>
      <c r="H16" t="s">
        <v>78</v>
      </c>
      <c r="I16" t="s">
        <v>3</v>
      </c>
      <c r="J16" t="s">
        <v>3</v>
      </c>
      <c r="K16" t="s">
        <v>3</v>
      </c>
      <c r="L16" s="18" t="s">
        <v>3</v>
      </c>
      <c r="M16" s="19">
        <f>9500+2720</f>
        <v>12220</v>
      </c>
      <c r="N16" s="19">
        <f>1900+1500</f>
        <v>3400</v>
      </c>
      <c r="O16" s="19">
        <f>3500+1000</f>
        <v>4500</v>
      </c>
      <c r="P16" s="19"/>
      <c r="Q16" s="20">
        <f t="shared" si="5"/>
        <v>20120</v>
      </c>
      <c r="R16" s="19">
        <f>10558+2095</f>
        <v>12653</v>
      </c>
      <c r="S16" s="19">
        <f>2500+1200</f>
        <v>3700</v>
      </c>
      <c r="T16" s="19">
        <f>5000+500</f>
        <v>5500</v>
      </c>
      <c r="U16" s="19"/>
      <c r="V16" s="20">
        <f t="shared" si="6"/>
        <v>21853</v>
      </c>
      <c r="W16" s="21">
        <f>10103+895</f>
        <v>10998</v>
      </c>
      <c r="X16" s="21">
        <f>2900+500</f>
        <v>3400</v>
      </c>
      <c r="Y16" s="21">
        <f>7500+500</f>
        <v>8000</v>
      </c>
      <c r="Z16" s="21"/>
      <c r="AA16" s="22">
        <f t="shared" si="7"/>
        <v>22398</v>
      </c>
      <c r="AB16" s="23">
        <f>8732+405</f>
        <v>9137</v>
      </c>
      <c r="AC16" s="21">
        <f>2600+875</f>
        <v>3475</v>
      </c>
      <c r="AD16" s="21">
        <f>7500+500</f>
        <v>8000</v>
      </c>
      <c r="AE16" s="21"/>
      <c r="AF16" s="24">
        <f t="shared" si="8"/>
        <v>20612</v>
      </c>
      <c r="AG16" s="23">
        <f>11501+395</f>
        <v>11896</v>
      </c>
      <c r="AH16" s="21">
        <f>2700+360</f>
        <v>3060</v>
      </c>
      <c r="AI16" s="21">
        <f>10000+500</f>
        <v>10500</v>
      </c>
      <c r="AJ16" s="21"/>
      <c r="AK16" s="25">
        <f t="shared" si="9"/>
        <v>25456</v>
      </c>
      <c r="AL16" s="23">
        <f>8391+315</f>
        <v>8706</v>
      </c>
      <c r="AM16" s="21">
        <f>3930+150</f>
        <v>4080</v>
      </c>
      <c r="AN16" s="21">
        <f>10000+500</f>
        <v>10500</v>
      </c>
      <c r="AO16" s="21"/>
      <c r="AP16" s="25">
        <f t="shared" si="10"/>
        <v>23286</v>
      </c>
      <c r="AQ16" s="23">
        <v>10736</v>
      </c>
      <c r="AR16" s="21">
        <v>3550</v>
      </c>
      <c r="AS16" s="21">
        <v>10000</v>
      </c>
      <c r="AT16" s="21"/>
      <c r="AU16" s="25">
        <f t="shared" si="11"/>
        <v>24286</v>
      </c>
      <c r="AV16" s="23">
        <v>8381</v>
      </c>
      <c r="AW16" s="21">
        <v>4000</v>
      </c>
      <c r="AX16" s="21">
        <v>10000</v>
      </c>
      <c r="AY16" s="21"/>
      <c r="AZ16" s="25">
        <f t="shared" si="12"/>
        <v>22381</v>
      </c>
      <c r="BA16" s="23">
        <v>7993</v>
      </c>
      <c r="BB16" s="21"/>
      <c r="BC16" s="21">
        <v>10000</v>
      </c>
      <c r="BD16" s="21"/>
      <c r="BE16" s="25">
        <f t="shared" si="13"/>
        <v>17993</v>
      </c>
      <c r="BF16" s="23">
        <v>6572</v>
      </c>
      <c r="BG16" s="21">
        <v>1850</v>
      </c>
      <c r="BH16" s="21">
        <v>10000</v>
      </c>
      <c r="BI16" s="21"/>
      <c r="BJ16" s="25">
        <f>SUM(BF16:BI16)</f>
        <v>18422</v>
      </c>
      <c r="BK16" s="23">
        <v>5606</v>
      </c>
      <c r="BL16" s="21">
        <v>2350</v>
      </c>
      <c r="BM16" s="21">
        <v>10000</v>
      </c>
      <c r="BN16" s="21"/>
      <c r="BO16" s="25">
        <f>SUM(BK16:BN16)</f>
        <v>17956</v>
      </c>
      <c r="BP16" s="23">
        <v>5619</v>
      </c>
      <c r="BQ16" s="21">
        <v>2450</v>
      </c>
      <c r="BR16" s="21">
        <v>10000</v>
      </c>
      <c r="BS16" s="21"/>
      <c r="BT16" s="25">
        <f t="shared" si="4"/>
        <v>18069</v>
      </c>
      <c r="BU16" s="21">
        <v>500</v>
      </c>
      <c r="BV16" s="26">
        <v>4786</v>
      </c>
      <c r="BW16" s="21">
        <v>3200</v>
      </c>
      <c r="BX16" s="21">
        <v>10000</v>
      </c>
      <c r="BY16" s="29" t="s">
        <v>3</v>
      </c>
      <c r="BZ16" s="27">
        <f t="shared" si="0"/>
        <v>17986</v>
      </c>
      <c r="CA16" s="26">
        <v>5150</v>
      </c>
      <c r="CB16" s="21">
        <v>4000</v>
      </c>
      <c r="CC16" s="21"/>
      <c r="CD16" s="29">
        <v>10000</v>
      </c>
      <c r="CE16" s="27">
        <f t="shared" si="1"/>
        <v>19150</v>
      </c>
      <c r="CF16" s="26">
        <v>5150</v>
      </c>
      <c r="CG16" s="21">
        <v>4000</v>
      </c>
      <c r="CH16" s="21"/>
      <c r="CI16" s="29">
        <v>10000</v>
      </c>
      <c r="CJ16" s="27">
        <f t="shared" si="2"/>
        <v>19150</v>
      </c>
    </row>
    <row r="17" spans="2:88" x14ac:dyDescent="0.25">
      <c r="B17" t="s">
        <v>41</v>
      </c>
      <c r="C17" s="17">
        <v>836871000</v>
      </c>
      <c r="D17" t="s">
        <v>79</v>
      </c>
      <c r="E17" t="str">
        <f t="shared" si="3"/>
        <v>$800 Million - $2 Billion</v>
      </c>
      <c r="F17">
        <f>IF(C17="", "", COUNTIF($C$6:C17,"&gt;0"))</f>
        <v>12</v>
      </c>
      <c r="G17">
        <f>IF(E17&lt;&gt;'[1]By Asset Category'!$B$1,"",COUNTIF($E$6:E17,'[1]By Asset Category'!$B$1))</f>
        <v>4</v>
      </c>
      <c r="H17" s="30" t="s">
        <v>80</v>
      </c>
      <c r="I17" t="s">
        <v>81</v>
      </c>
      <c r="L17" s="18"/>
      <c r="M17" s="19"/>
      <c r="N17" s="19"/>
      <c r="O17" s="19"/>
      <c r="P17" s="19"/>
      <c r="Q17" s="20"/>
      <c r="R17" s="19"/>
      <c r="S17" s="19"/>
      <c r="T17" s="19"/>
      <c r="U17" s="19"/>
      <c r="V17" s="20"/>
      <c r="W17" s="21"/>
      <c r="X17" s="21"/>
      <c r="Y17" s="21"/>
      <c r="Z17" s="21"/>
      <c r="AA17" s="22"/>
      <c r="AB17" s="23"/>
      <c r="AC17" s="21"/>
      <c r="AD17" s="21"/>
      <c r="AE17" s="21"/>
      <c r="AF17" s="24"/>
      <c r="AG17" s="23"/>
      <c r="AH17" s="21"/>
      <c r="AI17" s="21"/>
      <c r="AJ17" s="21"/>
      <c r="AK17" s="25"/>
      <c r="AL17" s="23"/>
      <c r="AM17" s="21"/>
      <c r="AN17" s="21"/>
      <c r="AO17" s="21"/>
      <c r="AP17" s="25"/>
      <c r="AQ17" s="23"/>
      <c r="AR17" s="21"/>
      <c r="AS17" s="21"/>
      <c r="AT17" s="21"/>
      <c r="AU17" s="25"/>
      <c r="AV17" s="23"/>
      <c r="AW17" s="21"/>
      <c r="AX17" s="21"/>
      <c r="AY17" s="21"/>
      <c r="AZ17" s="25"/>
      <c r="BA17" s="23"/>
      <c r="BB17" s="21"/>
      <c r="BC17" s="21"/>
      <c r="BD17" s="21"/>
      <c r="BE17" s="25"/>
      <c r="BF17" s="23"/>
      <c r="BG17" s="21"/>
      <c r="BH17" s="21"/>
      <c r="BI17" s="21"/>
      <c r="BJ17" s="25"/>
      <c r="BK17" s="23"/>
      <c r="BL17" s="21"/>
      <c r="BM17" s="21"/>
      <c r="BN17" s="21"/>
      <c r="BO17" s="25"/>
      <c r="BP17" s="23"/>
      <c r="BQ17" s="21"/>
      <c r="BR17" s="21"/>
      <c r="BS17" s="21"/>
      <c r="BT17" s="25">
        <f t="shared" si="4"/>
        <v>0</v>
      </c>
      <c r="BU17" s="21"/>
      <c r="BV17" s="26"/>
      <c r="BW17" s="21"/>
      <c r="BX17" s="21"/>
      <c r="BY17" s="21"/>
      <c r="BZ17" s="27">
        <f t="shared" si="0"/>
        <v>0</v>
      </c>
      <c r="CA17" s="26"/>
      <c r="CB17" s="21"/>
      <c r="CC17" s="21"/>
      <c r="CD17" s="21"/>
      <c r="CE17" s="27">
        <f t="shared" si="1"/>
        <v>0</v>
      </c>
      <c r="CF17" s="26"/>
      <c r="CG17" s="21"/>
      <c r="CH17" s="21"/>
      <c r="CI17" s="21"/>
      <c r="CJ17" s="27">
        <f t="shared" si="2"/>
        <v>0</v>
      </c>
    </row>
    <row r="18" spans="2:88" x14ac:dyDescent="0.25">
      <c r="B18" t="s">
        <v>58</v>
      </c>
      <c r="C18" s="17">
        <v>2120225000</v>
      </c>
      <c r="D18" t="s">
        <v>82</v>
      </c>
      <c r="E18" t="str">
        <f t="shared" si="3"/>
        <v>$2 Billion - $10 Billion</v>
      </c>
      <c r="F18">
        <f>IF(C18="", "", COUNTIF($C$6:C18,"&gt;0"))</f>
        <v>13</v>
      </c>
      <c r="G18" t="str">
        <f>IF(E18&lt;&gt;'[1]By Asset Category'!$B$1,"",COUNTIF($E$6:E18,'[1]By Asset Category'!$B$1))</f>
        <v/>
      </c>
      <c r="H18" t="s">
        <v>83</v>
      </c>
      <c r="L18" s="18"/>
      <c r="M18" s="19"/>
      <c r="N18" s="19"/>
      <c r="O18" s="19"/>
      <c r="P18" s="19"/>
      <c r="Q18" s="20"/>
      <c r="R18" s="19"/>
      <c r="S18" s="19"/>
      <c r="T18" s="19"/>
      <c r="U18" s="19"/>
      <c r="V18" s="20"/>
      <c r="W18" s="21"/>
      <c r="X18" s="21"/>
      <c r="Y18" s="21"/>
      <c r="Z18" s="21"/>
      <c r="AA18" s="22"/>
      <c r="AB18" s="23"/>
      <c r="AC18" s="21"/>
      <c r="AD18" s="21"/>
      <c r="AE18" s="21"/>
      <c r="AF18" s="24"/>
      <c r="AG18" s="23"/>
      <c r="AH18" s="21"/>
      <c r="AI18" s="21"/>
      <c r="AJ18" s="21"/>
      <c r="AK18" s="25"/>
      <c r="AL18" s="23"/>
      <c r="AM18" s="21"/>
      <c r="AN18" s="21"/>
      <c r="AO18" s="21"/>
      <c r="AP18" s="25"/>
      <c r="AQ18" s="23"/>
      <c r="AR18" s="21"/>
      <c r="AS18" s="21"/>
      <c r="AT18" s="21"/>
      <c r="AU18" s="25"/>
      <c r="AV18" s="23"/>
      <c r="AW18" s="21"/>
      <c r="AX18" s="21"/>
      <c r="AY18" s="21"/>
      <c r="AZ18" s="25"/>
      <c r="BA18" s="23"/>
      <c r="BB18" s="21"/>
      <c r="BC18" s="21"/>
      <c r="BD18" s="21"/>
      <c r="BE18" s="25"/>
      <c r="BF18" s="23"/>
      <c r="BG18" s="21"/>
      <c r="BH18" s="21"/>
      <c r="BI18" s="21"/>
      <c r="BJ18" s="25"/>
      <c r="BK18" s="23"/>
      <c r="BL18" s="21"/>
      <c r="BM18" s="21"/>
      <c r="BN18" s="21"/>
      <c r="BO18" s="25"/>
      <c r="BP18" s="23"/>
      <c r="BQ18" s="21"/>
      <c r="BR18" s="21"/>
      <c r="BS18" s="21"/>
      <c r="BT18" s="25">
        <f t="shared" si="4"/>
        <v>0</v>
      </c>
      <c r="BU18" s="21"/>
      <c r="BV18" s="26"/>
      <c r="BW18" s="21"/>
      <c r="BX18" s="21"/>
      <c r="BY18" s="21"/>
      <c r="BZ18" s="27">
        <f t="shared" si="0"/>
        <v>0</v>
      </c>
      <c r="CA18" s="26"/>
      <c r="CB18" s="21"/>
      <c r="CC18" s="21"/>
      <c r="CD18" s="21"/>
      <c r="CE18" s="27">
        <f t="shared" si="1"/>
        <v>0</v>
      </c>
      <c r="CF18" s="26"/>
      <c r="CG18" s="21"/>
      <c r="CH18" s="21"/>
      <c r="CI18" s="21"/>
      <c r="CJ18" s="27">
        <f t="shared" si="2"/>
        <v>0</v>
      </c>
    </row>
    <row r="19" spans="2:88" x14ac:dyDescent="0.25">
      <c r="B19" t="s">
        <v>58</v>
      </c>
      <c r="C19" s="17">
        <v>195720000</v>
      </c>
      <c r="D19" t="s">
        <v>84</v>
      </c>
      <c r="E19" t="str">
        <f t="shared" si="3"/>
        <v>Less than $350 Million</v>
      </c>
      <c r="F19">
        <f>IF(C19="", "", COUNTIF($C$6:C19,"&gt;0"))</f>
        <v>14</v>
      </c>
      <c r="G19" t="str">
        <f>IF(E19&lt;&gt;'[1]By Asset Category'!$B$1,"",COUNTIF($E$6:E19,'[1]By Asset Category'!$B$1))</f>
        <v/>
      </c>
      <c r="H19" s="30" t="s">
        <v>85</v>
      </c>
      <c r="I19" t="s">
        <v>86</v>
      </c>
      <c r="L19" s="18"/>
      <c r="M19" s="19">
        <v>0</v>
      </c>
      <c r="N19" s="19">
        <v>0</v>
      </c>
      <c r="O19" s="19">
        <v>0</v>
      </c>
      <c r="P19" s="19">
        <v>0</v>
      </c>
      <c r="Q19" s="20">
        <f t="shared" ref="Q19:Q25" si="14">SUM(M19:P19)</f>
        <v>0</v>
      </c>
      <c r="R19" s="19">
        <v>0</v>
      </c>
      <c r="S19" s="19">
        <v>0</v>
      </c>
      <c r="T19" s="19">
        <v>0</v>
      </c>
      <c r="U19" s="19">
        <v>0</v>
      </c>
      <c r="V19" s="20">
        <f t="shared" ref="V19:V25" si="15">SUM(R19:U19)</f>
        <v>0</v>
      </c>
      <c r="W19" s="21">
        <v>0</v>
      </c>
      <c r="X19" s="21">
        <v>0</v>
      </c>
      <c r="Y19" s="21">
        <v>0</v>
      </c>
      <c r="Z19" s="21">
        <v>0</v>
      </c>
      <c r="AA19" s="22">
        <f t="shared" ref="AA19:AA25" si="16">SUM(W19:Z19)</f>
        <v>0</v>
      </c>
      <c r="AB19" s="23"/>
      <c r="AC19" s="21"/>
      <c r="AD19" s="21"/>
      <c r="AE19" s="21"/>
      <c r="AF19" s="24">
        <f t="shared" ref="AF19:AF25" si="17">SUM(AB19:AE19)</f>
        <v>0</v>
      </c>
      <c r="AG19" s="23"/>
      <c r="AH19" s="21"/>
      <c r="AI19" s="21"/>
      <c r="AJ19" s="21"/>
      <c r="AK19" s="25">
        <f t="shared" ref="AK19:AK25" si="18">SUM(AG19:AJ19)</f>
        <v>0</v>
      </c>
      <c r="AL19" s="23"/>
      <c r="AM19" s="21"/>
      <c r="AN19" s="21"/>
      <c r="AO19" s="21"/>
      <c r="AP19" s="25">
        <f t="shared" ref="AP19:AP25" si="19">SUM(AL19:AO19)</f>
        <v>0</v>
      </c>
      <c r="AQ19" s="23"/>
      <c r="AR19" s="21"/>
      <c r="AS19" s="21"/>
      <c r="AT19" s="21"/>
      <c r="AU19" s="25">
        <f t="shared" ref="AU19:AU30" si="20">SUM(AQ19:AT19)</f>
        <v>0</v>
      </c>
      <c r="AV19" s="23"/>
      <c r="AW19" s="21"/>
      <c r="AX19" s="21"/>
      <c r="AY19" s="21"/>
      <c r="AZ19" s="25">
        <f t="shared" ref="AZ19:AZ58" si="21">SUM(AV19:AY19)</f>
        <v>0</v>
      </c>
      <c r="BA19" s="23"/>
      <c r="BB19" s="21"/>
      <c r="BC19" s="21"/>
      <c r="BD19" s="21"/>
      <c r="BE19" s="25">
        <f t="shared" ref="BE19:BE54" si="22">SUM(BA19:BD19)</f>
        <v>0</v>
      </c>
      <c r="BF19" s="23"/>
      <c r="BG19" s="21"/>
      <c r="BH19" s="21"/>
      <c r="BI19" s="21"/>
      <c r="BJ19" s="25">
        <f>SUM(BF19:BI19)</f>
        <v>0</v>
      </c>
      <c r="BK19" s="23"/>
      <c r="BL19" s="21"/>
      <c r="BM19" s="21"/>
      <c r="BN19" s="21"/>
      <c r="BO19" s="25">
        <f>SUM(BK19:BN19)</f>
        <v>0</v>
      </c>
      <c r="BP19" s="23"/>
      <c r="BQ19" s="21"/>
      <c r="BR19" s="21"/>
      <c r="BS19" s="21"/>
      <c r="BT19" s="25">
        <f t="shared" si="4"/>
        <v>0</v>
      </c>
      <c r="BU19" s="21"/>
      <c r="BV19" s="26"/>
      <c r="BW19" s="21"/>
      <c r="BX19" s="21"/>
      <c r="BY19" s="21"/>
      <c r="BZ19" s="27">
        <f t="shared" si="0"/>
        <v>0</v>
      </c>
      <c r="CA19" s="26"/>
      <c r="CB19" s="21"/>
      <c r="CC19" s="21"/>
      <c r="CD19" s="21"/>
      <c r="CE19" s="27">
        <f t="shared" si="1"/>
        <v>0</v>
      </c>
      <c r="CF19" s="26"/>
      <c r="CG19" s="21"/>
      <c r="CH19" s="21"/>
      <c r="CI19" s="21"/>
      <c r="CJ19" s="27">
        <f t="shared" si="2"/>
        <v>0</v>
      </c>
    </row>
    <row r="20" spans="2:88" x14ac:dyDescent="0.25">
      <c r="B20" t="s">
        <v>47</v>
      </c>
      <c r="C20" s="17">
        <v>421600000000</v>
      </c>
      <c r="D20" t="s">
        <v>87</v>
      </c>
      <c r="E20" t="str">
        <f t="shared" si="3"/>
        <v>Over $10 Billion</v>
      </c>
      <c r="F20">
        <f>IF(C20="", "", COUNTIF($C$6:C20,"&gt;0"))</f>
        <v>15</v>
      </c>
      <c r="G20" t="str">
        <f>IF(E20&lt;&gt;'[1]By Asset Category'!$B$1,"",COUNTIF($E$6:E20,'[1]By Asset Category'!$B$1))</f>
        <v/>
      </c>
      <c r="H20" s="30" t="s">
        <v>88</v>
      </c>
      <c r="L20" s="18"/>
      <c r="M20" s="19"/>
      <c r="N20" s="19"/>
      <c r="O20" s="19"/>
      <c r="P20" s="19"/>
      <c r="Q20" s="20"/>
      <c r="R20" s="19"/>
      <c r="S20" s="19"/>
      <c r="T20" s="19"/>
      <c r="U20" s="19"/>
      <c r="V20" s="20"/>
      <c r="W20" s="21"/>
      <c r="X20" s="21"/>
      <c r="Y20" s="21"/>
      <c r="Z20" s="21"/>
      <c r="AA20" s="22"/>
      <c r="AB20" s="23"/>
      <c r="AC20" s="21"/>
      <c r="AD20" s="21"/>
      <c r="AE20" s="21"/>
      <c r="AF20" s="24"/>
      <c r="AG20" s="23"/>
      <c r="AH20" s="21"/>
      <c r="AI20" s="21"/>
      <c r="AJ20" s="21"/>
      <c r="AK20" s="25"/>
      <c r="AL20" s="23"/>
      <c r="AM20" s="21"/>
      <c r="AN20" s="21"/>
      <c r="AO20" s="21"/>
      <c r="AP20" s="25"/>
      <c r="AQ20" s="23"/>
      <c r="AR20" s="21"/>
      <c r="AS20" s="21"/>
      <c r="AT20" s="21"/>
      <c r="AU20" s="25"/>
      <c r="AV20" s="23"/>
      <c r="AW20" s="21"/>
      <c r="AX20" s="21"/>
      <c r="AY20" s="21"/>
      <c r="AZ20" s="25"/>
      <c r="BA20" s="23"/>
      <c r="BB20" s="21"/>
      <c r="BC20" s="21"/>
      <c r="BD20" s="21"/>
      <c r="BE20" s="25"/>
      <c r="BF20" s="23"/>
      <c r="BG20" s="21"/>
      <c r="BH20" s="21"/>
      <c r="BI20" s="21"/>
      <c r="BJ20" s="25"/>
      <c r="BK20" s="23"/>
      <c r="BL20" s="21"/>
      <c r="BM20" s="21"/>
      <c r="BN20" s="21"/>
      <c r="BO20" s="25"/>
      <c r="BP20" s="23"/>
      <c r="BQ20" s="21"/>
      <c r="BR20" s="21"/>
      <c r="BS20" s="21"/>
      <c r="BT20" s="25"/>
      <c r="BU20" s="21"/>
      <c r="BV20" s="26"/>
      <c r="BW20" s="21"/>
      <c r="BX20" s="29" t="s">
        <v>3</v>
      </c>
      <c r="BY20" s="21">
        <v>2500</v>
      </c>
      <c r="BZ20" s="27">
        <f t="shared" si="0"/>
        <v>2500</v>
      </c>
      <c r="CA20" s="26"/>
      <c r="CB20" s="21"/>
      <c r="CC20" s="29">
        <v>2500</v>
      </c>
      <c r="CD20" s="21">
        <v>2500</v>
      </c>
      <c r="CE20" s="27">
        <f t="shared" si="1"/>
        <v>5000</v>
      </c>
      <c r="CF20" s="26"/>
      <c r="CG20" s="21"/>
      <c r="CH20" s="29">
        <v>2500</v>
      </c>
      <c r="CI20" s="21">
        <v>2500</v>
      </c>
      <c r="CJ20" s="27">
        <f t="shared" si="2"/>
        <v>5000</v>
      </c>
    </row>
    <row r="21" spans="2:88" x14ac:dyDescent="0.25">
      <c r="B21" t="s">
        <v>35</v>
      </c>
      <c r="C21" s="17">
        <v>4120513000</v>
      </c>
      <c r="D21" s="31" t="s">
        <v>89</v>
      </c>
      <c r="E21" t="str">
        <f t="shared" si="3"/>
        <v>$2 Billion - $10 Billion</v>
      </c>
      <c r="F21">
        <f>IF(C21="", "", COUNTIF($C$6:C21,"&gt;0"))</f>
        <v>16</v>
      </c>
      <c r="G21" t="str">
        <f>IF(E21&lt;&gt;'[1]By Asset Category'!$B$1,"",COUNTIF($E$6:E21,'[1]By Asset Category'!$B$1))</f>
        <v/>
      </c>
      <c r="H21" t="s">
        <v>90</v>
      </c>
      <c r="I21" t="s">
        <v>91</v>
      </c>
      <c r="J21" t="s">
        <v>92</v>
      </c>
      <c r="K21" t="s">
        <v>93</v>
      </c>
      <c r="L21" s="18" t="s">
        <v>46</v>
      </c>
      <c r="M21" s="19">
        <v>0</v>
      </c>
      <c r="N21" s="19">
        <v>0</v>
      </c>
      <c r="O21" s="19">
        <v>0</v>
      </c>
      <c r="P21" s="19">
        <v>0</v>
      </c>
      <c r="Q21" s="20">
        <f t="shared" si="14"/>
        <v>0</v>
      </c>
      <c r="R21" s="19">
        <v>0</v>
      </c>
      <c r="S21" s="19">
        <v>0</v>
      </c>
      <c r="T21" s="19">
        <v>0</v>
      </c>
      <c r="U21" s="19">
        <v>0</v>
      </c>
      <c r="V21" s="20">
        <f t="shared" si="15"/>
        <v>0</v>
      </c>
      <c r="W21" s="21">
        <v>0</v>
      </c>
      <c r="X21" s="21">
        <v>0</v>
      </c>
      <c r="Y21" s="21">
        <v>0</v>
      </c>
      <c r="Z21" s="21">
        <v>0</v>
      </c>
      <c r="AA21" s="22">
        <f t="shared" si="16"/>
        <v>0</v>
      </c>
      <c r="AB21" s="23"/>
      <c r="AC21" s="21"/>
      <c r="AD21" s="21"/>
      <c r="AE21" s="21"/>
      <c r="AF21" s="24">
        <f t="shared" si="17"/>
        <v>0</v>
      </c>
      <c r="AG21" s="23"/>
      <c r="AH21" s="21"/>
      <c r="AI21" s="21"/>
      <c r="AJ21" s="21"/>
      <c r="AK21" s="25">
        <f t="shared" si="18"/>
        <v>0</v>
      </c>
      <c r="AL21" s="23"/>
      <c r="AM21" s="21"/>
      <c r="AN21" s="21"/>
      <c r="AO21" s="21"/>
      <c r="AP21" s="25">
        <f t="shared" si="19"/>
        <v>0</v>
      </c>
      <c r="AQ21" s="23"/>
      <c r="AR21" s="21"/>
      <c r="AS21" s="21"/>
      <c r="AT21" s="21"/>
      <c r="AU21" s="25">
        <f t="shared" si="20"/>
        <v>0</v>
      </c>
      <c r="AV21" s="23"/>
      <c r="AW21" s="21"/>
      <c r="AX21" s="21"/>
      <c r="AY21" s="21"/>
      <c r="AZ21" s="25">
        <f t="shared" si="21"/>
        <v>0</v>
      </c>
      <c r="BA21" s="23"/>
      <c r="BB21" s="21"/>
      <c r="BC21" s="21"/>
      <c r="BD21" s="21"/>
      <c r="BE21" s="25">
        <f t="shared" si="22"/>
        <v>0</v>
      </c>
      <c r="BF21" s="23"/>
      <c r="BG21" s="21"/>
      <c r="BH21" s="21"/>
      <c r="BI21" s="21"/>
      <c r="BJ21" s="25">
        <f>SUM(BF21:BH21)</f>
        <v>0</v>
      </c>
      <c r="BK21" s="23">
        <v>100</v>
      </c>
      <c r="BL21" s="21">
        <v>800</v>
      </c>
      <c r="BM21" s="21">
        <v>7500</v>
      </c>
      <c r="BN21" s="21"/>
      <c r="BO21" s="25">
        <f>SUM(BK21:BM21)</f>
        <v>8400</v>
      </c>
      <c r="BP21" s="23">
        <v>3150</v>
      </c>
      <c r="BQ21" s="21">
        <v>950</v>
      </c>
      <c r="BR21" s="21">
        <v>10000</v>
      </c>
      <c r="BS21" s="21"/>
      <c r="BT21" s="25">
        <f t="shared" si="4"/>
        <v>14100</v>
      </c>
      <c r="BU21" s="21">
        <v>250</v>
      </c>
      <c r="BV21" s="26">
        <v>3750</v>
      </c>
      <c r="BW21" s="21">
        <v>1100</v>
      </c>
      <c r="BX21" s="21">
        <v>10000</v>
      </c>
      <c r="BY21" s="21"/>
      <c r="BZ21" s="27">
        <f t="shared" si="0"/>
        <v>14850</v>
      </c>
      <c r="CA21" s="21">
        <v>250</v>
      </c>
      <c r="CB21" s="21">
        <v>1500</v>
      </c>
      <c r="CC21" s="21">
        <v>10000</v>
      </c>
      <c r="CD21" s="21"/>
      <c r="CE21" s="27">
        <f t="shared" si="1"/>
        <v>11750</v>
      </c>
      <c r="CF21" s="21">
        <v>250</v>
      </c>
      <c r="CG21" s="21">
        <v>1500</v>
      </c>
      <c r="CH21" s="21">
        <v>10000</v>
      </c>
      <c r="CI21" s="21"/>
      <c r="CJ21" s="27">
        <f t="shared" si="2"/>
        <v>11750</v>
      </c>
    </row>
    <row r="22" spans="2:88" x14ac:dyDescent="0.25">
      <c r="B22" t="s">
        <v>58</v>
      </c>
      <c r="C22" s="17">
        <v>990829000</v>
      </c>
      <c r="D22" t="s">
        <v>94</v>
      </c>
      <c r="E22" t="str">
        <f t="shared" si="3"/>
        <v>$800 Million - $2 Billion</v>
      </c>
      <c r="F22">
        <f>IF(C22="", "", COUNTIF($C$6:C22,"&gt;0"))</f>
        <v>17</v>
      </c>
      <c r="G22">
        <f>IF(E22&lt;&gt;'[1]By Asset Category'!$B$1,"",COUNTIF($E$6:E22,'[1]By Asset Category'!$B$1))</f>
        <v>5</v>
      </c>
      <c r="H22" t="s">
        <v>95</v>
      </c>
      <c r="I22" t="s">
        <v>91</v>
      </c>
      <c r="J22" t="s">
        <v>96</v>
      </c>
      <c r="K22" t="s">
        <v>97</v>
      </c>
      <c r="L22" s="18"/>
      <c r="M22" s="19">
        <v>1305</v>
      </c>
      <c r="N22" s="19">
        <v>600</v>
      </c>
      <c r="O22" s="19">
        <v>0</v>
      </c>
      <c r="P22" s="19">
        <v>0</v>
      </c>
      <c r="Q22" s="20">
        <f t="shared" si="14"/>
        <v>1905</v>
      </c>
      <c r="R22" s="19">
        <v>0</v>
      </c>
      <c r="S22" s="19">
        <v>0</v>
      </c>
      <c r="T22" s="19">
        <v>0</v>
      </c>
      <c r="U22" s="19">
        <v>0</v>
      </c>
      <c r="V22" s="20">
        <f t="shared" si="15"/>
        <v>0</v>
      </c>
      <c r="W22" s="21">
        <v>0</v>
      </c>
      <c r="X22" s="21">
        <v>0</v>
      </c>
      <c r="Y22" s="21">
        <v>0</v>
      </c>
      <c r="Z22" s="21">
        <v>0</v>
      </c>
      <c r="AA22" s="22">
        <f t="shared" si="16"/>
        <v>0</v>
      </c>
      <c r="AB22" s="23"/>
      <c r="AC22" s="21"/>
      <c r="AD22" s="21"/>
      <c r="AE22" s="21"/>
      <c r="AF22" s="24">
        <f t="shared" si="17"/>
        <v>0</v>
      </c>
      <c r="AG22" s="23">
        <v>865</v>
      </c>
      <c r="AH22" s="21">
        <v>1150</v>
      </c>
      <c r="AI22" s="21"/>
      <c r="AJ22" s="21"/>
      <c r="AK22" s="25">
        <f t="shared" si="18"/>
        <v>2015</v>
      </c>
      <c r="AL22" s="23">
        <v>960</v>
      </c>
      <c r="AM22" s="21">
        <v>960</v>
      </c>
      <c r="AN22" s="21"/>
      <c r="AO22" s="21"/>
      <c r="AP22" s="25">
        <f t="shared" si="19"/>
        <v>1920</v>
      </c>
      <c r="AQ22" s="23">
        <v>1400</v>
      </c>
      <c r="AR22" s="21">
        <v>150</v>
      </c>
      <c r="AS22" s="21"/>
      <c r="AT22" s="21"/>
      <c r="AU22" s="25">
        <f t="shared" si="20"/>
        <v>1550</v>
      </c>
      <c r="AV22" s="23"/>
      <c r="AW22" s="21"/>
      <c r="AX22" s="21"/>
      <c r="AY22" s="21"/>
      <c r="AZ22" s="25">
        <f t="shared" si="21"/>
        <v>0</v>
      </c>
      <c r="BA22" s="23"/>
      <c r="BB22" s="21"/>
      <c r="BC22" s="21"/>
      <c r="BD22" s="21"/>
      <c r="BE22" s="25">
        <f t="shared" si="22"/>
        <v>0</v>
      </c>
      <c r="BF22" s="23">
        <v>505</v>
      </c>
      <c r="BG22" s="21"/>
      <c r="BH22" s="21"/>
      <c r="BI22" s="21"/>
      <c r="BJ22" s="25">
        <f>SUM(BF22:BI22)</f>
        <v>505</v>
      </c>
      <c r="BK22" s="23"/>
      <c r="BL22" s="21"/>
      <c r="BM22" s="21"/>
      <c r="BN22" s="21"/>
      <c r="BO22" s="25">
        <f>SUM(BK22:BN22)</f>
        <v>0</v>
      </c>
      <c r="BP22" s="23">
        <v>1350</v>
      </c>
      <c r="BQ22" s="21"/>
      <c r="BR22" s="21"/>
      <c r="BS22" s="21"/>
      <c r="BT22" s="25">
        <f t="shared" si="4"/>
        <v>1350</v>
      </c>
      <c r="BU22" s="21">
        <v>2500</v>
      </c>
      <c r="BV22" s="26">
        <v>350</v>
      </c>
      <c r="BW22" s="21"/>
      <c r="BX22" s="21"/>
      <c r="BY22" s="21"/>
      <c r="BZ22" s="27">
        <f t="shared" si="0"/>
        <v>350</v>
      </c>
      <c r="CA22" s="26">
        <v>0</v>
      </c>
      <c r="CB22" s="21">
        <v>750</v>
      </c>
      <c r="CC22" s="21">
        <v>0</v>
      </c>
      <c r="CD22" s="21"/>
      <c r="CE22" s="27">
        <f t="shared" si="1"/>
        <v>750</v>
      </c>
      <c r="CF22" s="26">
        <v>0</v>
      </c>
      <c r="CG22" s="21">
        <v>750</v>
      </c>
      <c r="CH22" s="21">
        <v>0</v>
      </c>
      <c r="CI22" s="21"/>
      <c r="CJ22" s="27">
        <f t="shared" si="2"/>
        <v>750</v>
      </c>
    </row>
    <row r="23" spans="2:88" x14ac:dyDescent="0.25">
      <c r="B23" t="s">
        <v>41</v>
      </c>
      <c r="C23" s="17">
        <v>1291855000</v>
      </c>
      <c r="D23" t="s">
        <v>98</v>
      </c>
      <c r="E23" t="str">
        <f t="shared" si="3"/>
        <v>$800 Million - $2 Billion</v>
      </c>
      <c r="F23">
        <f>IF(C23="", "", COUNTIF($C$6:C23,"&gt;0"))</f>
        <v>18</v>
      </c>
      <c r="G23">
        <f>IF(E23&lt;&gt;'[1]By Asset Category'!$B$1,"",COUNTIF($E$6:E23,'[1]By Asset Category'!$B$1))</f>
        <v>6</v>
      </c>
      <c r="H23" t="s">
        <v>99</v>
      </c>
      <c r="I23" t="s">
        <v>100</v>
      </c>
      <c r="J23" t="s">
        <v>101</v>
      </c>
      <c r="K23" t="s">
        <v>102</v>
      </c>
      <c r="L23" s="18" t="s">
        <v>46</v>
      </c>
      <c r="M23" s="19">
        <v>3629</v>
      </c>
      <c r="N23" s="19">
        <v>1050</v>
      </c>
      <c r="O23" s="19">
        <v>3000</v>
      </c>
      <c r="P23" s="19"/>
      <c r="Q23" s="20">
        <f t="shared" si="14"/>
        <v>7679</v>
      </c>
      <c r="R23" s="19">
        <v>4158</v>
      </c>
      <c r="S23" s="19">
        <v>900</v>
      </c>
      <c r="T23" s="19">
        <v>3000</v>
      </c>
      <c r="U23" s="19"/>
      <c r="V23" s="20">
        <f t="shared" si="15"/>
        <v>8058</v>
      </c>
      <c r="W23" s="21">
        <v>5056</v>
      </c>
      <c r="X23" s="21">
        <v>1050</v>
      </c>
      <c r="Y23" s="21">
        <v>5000</v>
      </c>
      <c r="Z23" s="21"/>
      <c r="AA23" s="22">
        <f t="shared" si="16"/>
        <v>11106</v>
      </c>
      <c r="AB23" s="23">
        <v>5423.3099999999995</v>
      </c>
      <c r="AC23" s="21">
        <v>1300</v>
      </c>
      <c r="AD23" s="21">
        <v>5000</v>
      </c>
      <c r="AE23" s="21"/>
      <c r="AF23" s="24">
        <f t="shared" si="17"/>
        <v>11723.31</v>
      </c>
      <c r="AG23" s="23">
        <v>6217</v>
      </c>
      <c r="AH23" s="21">
        <v>1100</v>
      </c>
      <c r="AI23" s="21">
        <v>5000</v>
      </c>
      <c r="AJ23" s="21"/>
      <c r="AK23" s="25">
        <f t="shared" si="18"/>
        <v>12317</v>
      </c>
      <c r="AL23" s="23">
        <v>8544</v>
      </c>
      <c r="AM23" s="21">
        <v>1650</v>
      </c>
      <c r="AN23" s="21">
        <v>5000</v>
      </c>
      <c r="AO23" s="21"/>
      <c r="AP23" s="25">
        <f t="shared" si="19"/>
        <v>15194</v>
      </c>
      <c r="AQ23" s="23">
        <v>12907</v>
      </c>
      <c r="AR23" s="21">
        <v>700</v>
      </c>
      <c r="AS23" s="21">
        <v>5000</v>
      </c>
      <c r="AT23" s="21"/>
      <c r="AU23" s="25">
        <f t="shared" si="20"/>
        <v>18607</v>
      </c>
      <c r="AV23" s="23">
        <v>9158</v>
      </c>
      <c r="AW23" s="21">
        <v>600</v>
      </c>
      <c r="AX23" s="21">
        <v>5000</v>
      </c>
      <c r="AY23" s="21"/>
      <c r="AZ23" s="25">
        <f t="shared" si="21"/>
        <v>14758</v>
      </c>
      <c r="BA23" s="23">
        <v>8390</v>
      </c>
      <c r="BB23" s="21">
        <v>800</v>
      </c>
      <c r="BC23" s="21">
        <v>5000</v>
      </c>
      <c r="BD23" s="21"/>
      <c r="BE23" s="25">
        <f t="shared" si="22"/>
        <v>14190</v>
      </c>
      <c r="BF23" s="23">
        <v>7970</v>
      </c>
      <c r="BG23" s="21">
        <v>3200</v>
      </c>
      <c r="BH23" s="21">
        <v>5000</v>
      </c>
      <c r="BI23" s="21"/>
      <c r="BJ23" s="25">
        <f>SUM(BF23:BI23)</f>
        <v>16170</v>
      </c>
      <c r="BK23" s="23">
        <v>11449</v>
      </c>
      <c r="BL23" s="21">
        <v>1450</v>
      </c>
      <c r="BM23" s="21">
        <v>5000</v>
      </c>
      <c r="BN23" s="21"/>
      <c r="BO23" s="25">
        <f>SUM(BK23:BN23)</f>
        <v>17899</v>
      </c>
      <c r="BP23" s="23">
        <v>12238.5</v>
      </c>
      <c r="BQ23" s="21">
        <v>1600</v>
      </c>
      <c r="BR23" s="21">
        <v>5000</v>
      </c>
      <c r="BS23" s="21"/>
      <c r="BT23" s="25">
        <f t="shared" si="4"/>
        <v>18838.5</v>
      </c>
      <c r="BU23" s="21"/>
      <c r="BV23" s="26">
        <v>13708.19</v>
      </c>
      <c r="BW23" s="21">
        <v>1950</v>
      </c>
      <c r="BX23" s="21">
        <v>5000</v>
      </c>
      <c r="BY23" s="21"/>
      <c r="BZ23" s="27">
        <f t="shared" si="0"/>
        <v>20658.190000000002</v>
      </c>
      <c r="CA23" s="26">
        <v>1210.18</v>
      </c>
      <c r="CB23" s="21">
        <v>250</v>
      </c>
      <c r="CC23" s="21"/>
      <c r="CD23" s="21"/>
      <c r="CE23" s="27">
        <f t="shared" si="1"/>
        <v>1460.18</v>
      </c>
      <c r="CF23" s="26">
        <v>1210.18</v>
      </c>
      <c r="CG23" s="21">
        <v>250</v>
      </c>
      <c r="CH23" s="21"/>
      <c r="CI23" s="21"/>
      <c r="CJ23" s="27">
        <f t="shared" si="2"/>
        <v>1460.18</v>
      </c>
    </row>
    <row r="24" spans="2:88" x14ac:dyDescent="0.25">
      <c r="B24" t="s">
        <v>35</v>
      </c>
      <c r="C24" s="17">
        <v>533033000</v>
      </c>
      <c r="D24" t="s">
        <v>103</v>
      </c>
      <c r="E24" t="str">
        <f t="shared" si="3"/>
        <v>$350 Million - $800 Million</v>
      </c>
      <c r="F24">
        <f>IF(C24="", "", COUNTIF($C$6:C24,"&gt;0"))</f>
        <v>19</v>
      </c>
      <c r="G24" t="str">
        <f>IF(E24&lt;&gt;'[1]By Asset Category'!$B$1,"",COUNTIF($E$6:E24,'[1]By Asset Category'!$B$1))</f>
        <v/>
      </c>
      <c r="H24" t="s">
        <v>104</v>
      </c>
      <c r="I24" t="s">
        <v>38</v>
      </c>
      <c r="J24" t="s">
        <v>105</v>
      </c>
      <c r="K24" t="s">
        <v>106</v>
      </c>
      <c r="L24" s="18" t="s">
        <v>3</v>
      </c>
      <c r="M24" s="19">
        <v>0</v>
      </c>
      <c r="N24" s="19">
        <v>0</v>
      </c>
      <c r="O24" s="19">
        <v>0</v>
      </c>
      <c r="P24" s="19"/>
      <c r="Q24" s="20">
        <f t="shared" si="14"/>
        <v>0</v>
      </c>
      <c r="R24" s="19">
        <v>0</v>
      </c>
      <c r="S24" s="19">
        <v>200</v>
      </c>
      <c r="T24" s="19">
        <v>2000</v>
      </c>
      <c r="U24" s="19"/>
      <c r="V24" s="20">
        <f t="shared" si="15"/>
        <v>2200</v>
      </c>
      <c r="W24" s="21">
        <v>0</v>
      </c>
      <c r="X24" s="21">
        <v>100</v>
      </c>
      <c r="Y24" s="21">
        <v>2000</v>
      </c>
      <c r="Z24" s="21"/>
      <c r="AA24" s="22">
        <f t="shared" si="16"/>
        <v>2100</v>
      </c>
      <c r="AB24" s="23"/>
      <c r="AC24" s="21">
        <v>150</v>
      </c>
      <c r="AD24" s="21">
        <v>2000</v>
      </c>
      <c r="AE24" s="21"/>
      <c r="AF24" s="24">
        <f t="shared" si="17"/>
        <v>2150</v>
      </c>
      <c r="AG24" s="23"/>
      <c r="AH24" s="21">
        <v>100</v>
      </c>
      <c r="AI24" s="21">
        <v>2000</v>
      </c>
      <c r="AJ24" s="21"/>
      <c r="AK24" s="25">
        <f t="shared" si="18"/>
        <v>2100</v>
      </c>
      <c r="AL24" s="23"/>
      <c r="AM24" s="21">
        <v>200</v>
      </c>
      <c r="AN24" s="21">
        <v>2500</v>
      </c>
      <c r="AO24" s="21"/>
      <c r="AP24" s="25">
        <f t="shared" si="19"/>
        <v>2700</v>
      </c>
      <c r="AQ24" s="23"/>
      <c r="AR24" s="21">
        <v>250</v>
      </c>
      <c r="AS24" s="21">
        <v>2500</v>
      </c>
      <c r="AT24" s="21"/>
      <c r="AU24" s="25">
        <f t="shared" si="20"/>
        <v>2750</v>
      </c>
      <c r="AV24" s="23"/>
      <c r="AW24" s="21"/>
      <c r="AX24" s="21">
        <v>2000</v>
      </c>
      <c r="AY24" s="21"/>
      <c r="AZ24" s="25">
        <f t="shared" si="21"/>
        <v>2000</v>
      </c>
      <c r="BA24" s="23"/>
      <c r="BB24" s="21"/>
      <c r="BC24" s="21">
        <v>2000</v>
      </c>
      <c r="BD24" s="21"/>
      <c r="BE24" s="25">
        <f t="shared" si="22"/>
        <v>2000</v>
      </c>
      <c r="BF24" s="23">
        <v>350</v>
      </c>
      <c r="BG24" s="21">
        <v>280</v>
      </c>
      <c r="BH24" s="21">
        <v>2500</v>
      </c>
      <c r="BI24" s="21"/>
      <c r="BJ24" s="25">
        <f>SUM(BF24:BH24)</f>
        <v>3130</v>
      </c>
      <c r="BK24" s="23"/>
      <c r="BL24" s="21"/>
      <c r="BM24" s="21">
        <v>3000</v>
      </c>
      <c r="BN24" s="21"/>
      <c r="BO24" s="25">
        <f>SUM(BK24:BM24)</f>
        <v>3000</v>
      </c>
      <c r="BP24" s="23"/>
      <c r="BQ24" s="21"/>
      <c r="BR24" s="21">
        <v>3000</v>
      </c>
      <c r="BS24" s="21"/>
      <c r="BT24" s="25">
        <f t="shared" si="4"/>
        <v>3000</v>
      </c>
      <c r="BU24" s="21">
        <v>479.09</v>
      </c>
      <c r="BV24" s="26"/>
      <c r="BW24" s="21"/>
      <c r="BX24" s="21">
        <v>3000</v>
      </c>
      <c r="BY24" s="21"/>
      <c r="BZ24" s="27">
        <f t="shared" si="0"/>
        <v>3000</v>
      </c>
      <c r="CA24" s="26"/>
      <c r="CB24" s="21"/>
      <c r="CC24" s="21">
        <v>3000</v>
      </c>
      <c r="CD24" s="21"/>
      <c r="CE24" s="27">
        <f t="shared" si="1"/>
        <v>3000</v>
      </c>
      <c r="CF24" s="26"/>
      <c r="CG24" s="21"/>
      <c r="CH24" s="21">
        <v>3000</v>
      </c>
      <c r="CI24" s="21"/>
      <c r="CJ24" s="27">
        <f t="shared" si="2"/>
        <v>3000</v>
      </c>
    </row>
    <row r="25" spans="2:88" x14ac:dyDescent="0.25">
      <c r="B25" t="s">
        <v>58</v>
      </c>
      <c r="C25" s="17">
        <v>5840704000</v>
      </c>
      <c r="D25" t="s">
        <v>107</v>
      </c>
      <c r="E25" t="str">
        <f t="shared" si="3"/>
        <v>$2 Billion - $10 Billion</v>
      </c>
      <c r="F25">
        <f>IF(C25="", "", COUNTIF($C$6:C25,"&gt;0"))</f>
        <v>20</v>
      </c>
      <c r="G25" t="str">
        <f>IF(E25&lt;&gt;'[1]By Asset Category'!$B$1,"",COUNTIF($E$6:E25,'[1]By Asset Category'!$B$1))</f>
        <v/>
      </c>
      <c r="H25" t="s">
        <v>108</v>
      </c>
      <c r="I25" t="s">
        <v>38</v>
      </c>
      <c r="J25" t="s">
        <v>109</v>
      </c>
      <c r="K25" t="s">
        <v>110</v>
      </c>
      <c r="L25" s="18" t="s">
        <v>3</v>
      </c>
      <c r="M25" s="19">
        <v>260</v>
      </c>
      <c r="N25" s="19">
        <v>150</v>
      </c>
      <c r="O25" s="19">
        <v>0</v>
      </c>
      <c r="P25" s="19"/>
      <c r="Q25" s="20">
        <f t="shared" si="14"/>
        <v>410</v>
      </c>
      <c r="R25" s="19">
        <v>50</v>
      </c>
      <c r="S25" s="19">
        <v>0</v>
      </c>
      <c r="T25" s="19">
        <v>0</v>
      </c>
      <c r="U25" s="19"/>
      <c r="V25" s="20">
        <f t="shared" si="15"/>
        <v>50</v>
      </c>
      <c r="W25" s="21">
        <v>0</v>
      </c>
      <c r="X25" s="21">
        <v>0</v>
      </c>
      <c r="Y25" s="21">
        <v>0</v>
      </c>
      <c r="Z25" s="21"/>
      <c r="AA25" s="22">
        <f t="shared" si="16"/>
        <v>0</v>
      </c>
      <c r="AB25" s="23">
        <v>75</v>
      </c>
      <c r="AC25" s="21"/>
      <c r="AD25" s="21"/>
      <c r="AE25" s="21"/>
      <c r="AF25" s="24">
        <f t="shared" si="17"/>
        <v>75</v>
      </c>
      <c r="AG25" s="23"/>
      <c r="AH25" s="21"/>
      <c r="AI25" s="21"/>
      <c r="AJ25" s="21"/>
      <c r="AK25" s="25">
        <f t="shared" si="18"/>
        <v>0</v>
      </c>
      <c r="AL25" s="23"/>
      <c r="AM25" s="21"/>
      <c r="AN25" s="21"/>
      <c r="AO25" s="21"/>
      <c r="AP25" s="25">
        <f t="shared" si="19"/>
        <v>0</v>
      </c>
      <c r="AQ25" s="23">
        <v>900</v>
      </c>
      <c r="AR25" s="21">
        <v>250</v>
      </c>
      <c r="AS25" s="21"/>
      <c r="AT25" s="21"/>
      <c r="AU25" s="25">
        <f t="shared" si="20"/>
        <v>1150</v>
      </c>
      <c r="AV25" s="23">
        <v>400</v>
      </c>
      <c r="AW25" s="21"/>
      <c r="AX25" s="21"/>
      <c r="AY25" s="21"/>
      <c r="AZ25" s="25">
        <f t="shared" si="21"/>
        <v>400</v>
      </c>
      <c r="BA25" s="23">
        <v>250</v>
      </c>
      <c r="BB25" s="21"/>
      <c r="BC25" s="21"/>
      <c r="BD25" s="21"/>
      <c r="BE25" s="25">
        <f t="shared" si="22"/>
        <v>250</v>
      </c>
      <c r="BF25" s="23">
        <v>893</v>
      </c>
      <c r="BG25" s="21">
        <v>200</v>
      </c>
      <c r="BH25" s="21"/>
      <c r="BI25" s="21"/>
      <c r="BJ25" s="25">
        <f>SUM(BF25:BI25)</f>
        <v>1093</v>
      </c>
      <c r="BK25" s="23">
        <v>881</v>
      </c>
      <c r="BL25" s="21">
        <v>200</v>
      </c>
      <c r="BM25" s="21"/>
      <c r="BN25" s="21"/>
      <c r="BO25" s="25">
        <f>SUM(BK25:BN25)</f>
        <v>1081</v>
      </c>
      <c r="BP25" s="23">
        <v>1277.43</v>
      </c>
      <c r="BQ25" s="21">
        <v>200</v>
      </c>
      <c r="BR25" s="21"/>
      <c r="BS25" s="21"/>
      <c r="BT25" s="25">
        <f t="shared" si="4"/>
        <v>1477.43</v>
      </c>
      <c r="BU25" s="21">
        <v>165</v>
      </c>
      <c r="BV25" s="26">
        <v>1312.35</v>
      </c>
      <c r="BW25" s="21">
        <v>200</v>
      </c>
      <c r="BX25" s="21"/>
      <c r="BY25" s="21"/>
      <c r="BZ25" s="27">
        <f t="shared" si="0"/>
        <v>1512.35</v>
      </c>
      <c r="CA25" s="26">
        <v>1407.32</v>
      </c>
      <c r="CB25" s="21">
        <v>250</v>
      </c>
      <c r="CC25" s="21"/>
      <c r="CD25" s="21"/>
      <c r="CE25" s="27">
        <f t="shared" si="1"/>
        <v>1657.32</v>
      </c>
      <c r="CF25" s="26">
        <v>1407.32</v>
      </c>
      <c r="CG25" s="21">
        <v>250</v>
      </c>
      <c r="CH25" s="21"/>
      <c r="CI25" s="21"/>
      <c r="CJ25" s="27">
        <f t="shared" si="2"/>
        <v>1657.32</v>
      </c>
    </row>
    <row r="26" spans="2:88" x14ac:dyDescent="0.25">
      <c r="B26" t="s">
        <v>58</v>
      </c>
      <c r="C26" s="17">
        <v>2192933000</v>
      </c>
      <c r="D26" t="s">
        <v>111</v>
      </c>
      <c r="E26" t="str">
        <f t="shared" si="3"/>
        <v>$2 Billion - $10 Billion</v>
      </c>
      <c r="F26">
        <f>IF(C26="", "", COUNTIF($C$6:C26,"&gt;0"))</f>
        <v>21</v>
      </c>
      <c r="G26" t="str">
        <f>IF(E26&lt;&gt;'[1]By Asset Category'!$B$1,"",COUNTIF($E$6:E26,'[1]By Asset Category'!$B$1))</f>
        <v/>
      </c>
      <c r="H26" t="s">
        <v>112</v>
      </c>
      <c r="I26" t="s">
        <v>38</v>
      </c>
      <c r="J26" t="s">
        <v>113</v>
      </c>
      <c r="K26" t="s">
        <v>114</v>
      </c>
      <c r="L26" s="18"/>
      <c r="M26" s="19"/>
      <c r="N26" s="19"/>
      <c r="O26" s="19"/>
      <c r="P26" s="19"/>
      <c r="Q26" s="20"/>
      <c r="R26" s="19"/>
      <c r="S26" s="19"/>
      <c r="T26" s="19"/>
      <c r="U26" s="19"/>
      <c r="V26" s="20"/>
      <c r="W26" s="21"/>
      <c r="X26" s="21"/>
      <c r="Y26" s="21"/>
      <c r="Z26" s="21"/>
      <c r="AA26" s="22"/>
      <c r="AB26" s="23"/>
      <c r="AC26" s="21"/>
      <c r="AD26" s="21"/>
      <c r="AE26" s="21"/>
      <c r="AF26" s="24"/>
      <c r="AG26" s="23"/>
      <c r="AH26" s="21"/>
      <c r="AI26" s="21"/>
      <c r="AJ26" s="21"/>
      <c r="AK26" s="25"/>
      <c r="AL26" s="23"/>
      <c r="AM26" s="21"/>
      <c r="AN26" s="21"/>
      <c r="AO26" s="21"/>
      <c r="AP26" s="25"/>
      <c r="AQ26" s="23">
        <v>80</v>
      </c>
      <c r="AR26" s="21"/>
      <c r="AS26" s="21"/>
      <c r="AT26" s="21"/>
      <c r="AU26" s="25">
        <f t="shared" si="20"/>
        <v>80</v>
      </c>
      <c r="AV26" s="23"/>
      <c r="AW26" s="21"/>
      <c r="AX26" s="21"/>
      <c r="AY26" s="21"/>
      <c r="AZ26" s="25">
        <f t="shared" si="21"/>
        <v>0</v>
      </c>
      <c r="BA26" s="23">
        <v>920</v>
      </c>
      <c r="BB26" s="21"/>
      <c r="BC26" s="21"/>
      <c r="BD26" s="21"/>
      <c r="BE26" s="25">
        <f t="shared" si="22"/>
        <v>920</v>
      </c>
      <c r="BF26" s="23">
        <v>1300</v>
      </c>
      <c r="BG26" s="21"/>
      <c r="BH26" s="21"/>
      <c r="BI26" s="21"/>
      <c r="BJ26" s="25">
        <f>SUM(BF26:BI26)</f>
        <v>1300</v>
      </c>
      <c r="BK26" s="23"/>
      <c r="BL26" s="21"/>
      <c r="BM26" s="21"/>
      <c r="BN26" s="21"/>
      <c r="BO26" s="25">
        <f>SUM(BK26:BN26)</f>
        <v>0</v>
      </c>
      <c r="BP26" s="23">
        <v>975</v>
      </c>
      <c r="BQ26" s="21">
        <v>250</v>
      </c>
      <c r="BR26" s="21"/>
      <c r="BS26" s="21"/>
      <c r="BT26" s="25">
        <f t="shared" si="4"/>
        <v>1225</v>
      </c>
      <c r="BU26" s="21"/>
      <c r="BV26" s="26">
        <v>485</v>
      </c>
      <c r="BW26" s="29" t="s">
        <v>3</v>
      </c>
      <c r="BX26" s="21"/>
      <c r="BY26" s="21"/>
      <c r="BZ26" s="27">
        <f t="shared" si="0"/>
        <v>485</v>
      </c>
      <c r="CA26" s="26">
        <v>1400</v>
      </c>
      <c r="CB26" s="29">
        <v>900</v>
      </c>
      <c r="CC26" s="21">
        <v>0</v>
      </c>
      <c r="CD26" s="21"/>
      <c r="CE26" s="27">
        <f t="shared" si="1"/>
        <v>2300</v>
      </c>
      <c r="CF26" s="26">
        <v>1400</v>
      </c>
      <c r="CG26" s="29">
        <v>900</v>
      </c>
      <c r="CH26" s="21">
        <v>0</v>
      </c>
      <c r="CI26" s="21"/>
      <c r="CJ26" s="27">
        <f t="shared" si="2"/>
        <v>2300</v>
      </c>
    </row>
    <row r="27" spans="2:88" x14ac:dyDescent="0.25">
      <c r="B27" t="s">
        <v>41</v>
      </c>
      <c r="C27" s="17">
        <v>154243000</v>
      </c>
      <c r="D27" t="s">
        <v>115</v>
      </c>
      <c r="E27" t="str">
        <f t="shared" si="3"/>
        <v>Less than $350 Million</v>
      </c>
      <c r="F27">
        <f>IF(C27="", "", COUNTIF($C$6:C27,"&gt;0"))</f>
        <v>22</v>
      </c>
      <c r="G27" t="str">
        <f>IF(E27&lt;&gt;'[1]By Asset Category'!$B$1,"",COUNTIF($E$6:E27,'[1]By Asset Category'!$B$1))</f>
        <v/>
      </c>
      <c r="H27" t="s">
        <v>116</v>
      </c>
      <c r="I27" t="s">
        <v>3</v>
      </c>
      <c r="J27" t="s">
        <v>3</v>
      </c>
      <c r="K27" t="s">
        <v>3</v>
      </c>
      <c r="L27" s="18" t="s">
        <v>3</v>
      </c>
      <c r="M27" s="19">
        <v>0</v>
      </c>
      <c r="N27" s="19">
        <v>0</v>
      </c>
      <c r="O27" s="19">
        <v>0</v>
      </c>
      <c r="P27" s="19"/>
      <c r="Q27" s="20">
        <f>SUM(M27:P27)</f>
        <v>0</v>
      </c>
      <c r="R27" s="19">
        <v>220</v>
      </c>
      <c r="S27" s="19">
        <v>0</v>
      </c>
      <c r="T27" s="19">
        <v>0</v>
      </c>
      <c r="U27" s="19"/>
      <c r="V27" s="20">
        <f>SUM(R27:U27)</f>
        <v>220</v>
      </c>
      <c r="W27" s="21">
        <v>125</v>
      </c>
      <c r="X27" s="21">
        <v>0</v>
      </c>
      <c r="Y27" s="21">
        <v>0</v>
      </c>
      <c r="Z27" s="21"/>
      <c r="AA27" s="22">
        <f>SUM(W27:Z27)</f>
        <v>125</v>
      </c>
      <c r="AB27" s="23">
        <v>200</v>
      </c>
      <c r="AC27" s="21"/>
      <c r="AD27" s="21"/>
      <c r="AE27" s="21"/>
      <c r="AF27" s="24">
        <f>SUM(AB27:AE27)</f>
        <v>200</v>
      </c>
      <c r="AG27" s="23">
        <v>548</v>
      </c>
      <c r="AH27" s="21"/>
      <c r="AI27" s="21"/>
      <c r="AJ27" s="21"/>
      <c r="AK27" s="25">
        <f>SUM(AG27:AJ27)</f>
        <v>548</v>
      </c>
      <c r="AL27" s="23">
        <v>900</v>
      </c>
      <c r="AM27" s="21"/>
      <c r="AN27" s="21"/>
      <c r="AO27" s="21"/>
      <c r="AP27" s="25">
        <f>SUM(AL27:AO27)</f>
        <v>900</v>
      </c>
      <c r="AQ27" s="23">
        <v>740</v>
      </c>
      <c r="AR27" s="21"/>
      <c r="AS27" s="21">
        <v>500</v>
      </c>
      <c r="AT27" s="21"/>
      <c r="AU27" s="25">
        <f t="shared" si="20"/>
        <v>1240</v>
      </c>
      <c r="AV27" s="23">
        <v>400</v>
      </c>
      <c r="AW27" s="21"/>
      <c r="AX27" s="21">
        <v>500</v>
      </c>
      <c r="AY27" s="21"/>
      <c r="AZ27" s="25">
        <f t="shared" si="21"/>
        <v>900</v>
      </c>
      <c r="BA27" s="23">
        <v>350</v>
      </c>
      <c r="BB27" s="21"/>
      <c r="BC27" s="21">
        <v>750</v>
      </c>
      <c r="BD27" s="21"/>
      <c r="BE27" s="25">
        <f t="shared" si="22"/>
        <v>1100</v>
      </c>
      <c r="BF27" s="23">
        <v>250</v>
      </c>
      <c r="BG27" s="21"/>
      <c r="BH27" s="21">
        <v>750</v>
      </c>
      <c r="BI27" s="21"/>
      <c r="BJ27" s="25">
        <f>SUM(BF27:BI27)</f>
        <v>1000</v>
      </c>
      <c r="BK27" s="23"/>
      <c r="BL27" s="21"/>
      <c r="BM27" s="21">
        <v>1000</v>
      </c>
      <c r="BN27" s="21"/>
      <c r="BO27" s="25">
        <f>SUM(BK27:BN27)</f>
        <v>1000</v>
      </c>
      <c r="BP27" s="23"/>
      <c r="BQ27" s="21"/>
      <c r="BR27" s="21"/>
      <c r="BS27" s="21"/>
      <c r="BT27" s="25">
        <f t="shared" si="4"/>
        <v>0</v>
      </c>
      <c r="BU27" s="21"/>
      <c r="BV27" s="26">
        <v>870</v>
      </c>
      <c r="BW27" s="21">
        <v>2000</v>
      </c>
      <c r="BX27" s="21">
        <v>1500</v>
      </c>
      <c r="BY27" s="29" t="s">
        <v>3</v>
      </c>
      <c r="BZ27" s="27">
        <f t="shared" si="0"/>
        <v>4370</v>
      </c>
      <c r="CA27" s="26">
        <v>250</v>
      </c>
      <c r="CB27" s="21">
        <v>500</v>
      </c>
      <c r="CC27" s="21"/>
      <c r="CD27" s="29"/>
      <c r="CE27" s="27">
        <f t="shared" si="1"/>
        <v>750</v>
      </c>
      <c r="CF27" s="26">
        <v>250</v>
      </c>
      <c r="CG27" s="21">
        <v>500</v>
      </c>
      <c r="CH27" s="21"/>
      <c r="CI27" s="29"/>
      <c r="CJ27" s="27">
        <f t="shared" si="2"/>
        <v>750</v>
      </c>
    </row>
    <row r="28" spans="2:88" x14ac:dyDescent="0.25">
      <c r="B28" t="s">
        <v>58</v>
      </c>
      <c r="C28" s="17">
        <v>2464967000</v>
      </c>
      <c r="D28" t="s">
        <v>117</v>
      </c>
      <c r="E28" t="str">
        <f t="shared" si="3"/>
        <v>$2 Billion - $10 Billion</v>
      </c>
      <c r="F28">
        <f>IF(C28="", "", COUNTIF($C$6:C28,"&gt;0"))</f>
        <v>23</v>
      </c>
      <c r="G28" t="str">
        <f>IF(E28&lt;&gt;'[1]By Asset Category'!$B$1,"",COUNTIF($E$6:E28,'[1]By Asset Category'!$B$1))</f>
        <v/>
      </c>
      <c r="H28" t="s">
        <v>118</v>
      </c>
      <c r="I28" t="s">
        <v>3</v>
      </c>
      <c r="J28" t="s">
        <v>3</v>
      </c>
      <c r="K28" t="s">
        <v>3</v>
      </c>
      <c r="L28" s="18"/>
      <c r="M28" s="19">
        <v>0</v>
      </c>
      <c r="N28" s="19">
        <v>0</v>
      </c>
      <c r="O28" s="19">
        <v>0</v>
      </c>
      <c r="P28" s="19">
        <v>0</v>
      </c>
      <c r="Q28" s="20">
        <f>SUM(M28:P28)</f>
        <v>0</v>
      </c>
      <c r="R28" s="19">
        <v>0</v>
      </c>
      <c r="S28" s="19">
        <v>0</v>
      </c>
      <c r="T28" s="19">
        <v>0</v>
      </c>
      <c r="U28" s="19">
        <v>0</v>
      </c>
      <c r="V28" s="20">
        <f>SUM(R28:U28)</f>
        <v>0</v>
      </c>
      <c r="W28" s="21">
        <v>0</v>
      </c>
      <c r="X28" s="21">
        <v>0</v>
      </c>
      <c r="Y28" s="21">
        <v>0</v>
      </c>
      <c r="Z28" s="21">
        <v>0</v>
      </c>
      <c r="AA28" s="22">
        <f>SUM(W28:Z28)</f>
        <v>0</v>
      </c>
      <c r="AB28" s="23"/>
      <c r="AC28" s="21"/>
      <c r="AD28" s="21"/>
      <c r="AE28" s="21"/>
      <c r="AF28" s="24">
        <f>SUM(AB28:AE28)</f>
        <v>0</v>
      </c>
      <c r="AG28" s="23"/>
      <c r="AH28" s="21"/>
      <c r="AI28" s="21"/>
      <c r="AJ28" s="21"/>
      <c r="AK28" s="25">
        <f>SUM(AG28:AJ28)</f>
        <v>0</v>
      </c>
      <c r="AL28" s="23"/>
      <c r="AM28" s="21"/>
      <c r="AN28" s="21"/>
      <c r="AO28" s="21"/>
      <c r="AP28" s="25">
        <f>SUM(AL28:AO28)</f>
        <v>0</v>
      </c>
      <c r="AQ28" s="23"/>
      <c r="AR28" s="21"/>
      <c r="AS28" s="21"/>
      <c r="AT28" s="21"/>
      <c r="AU28" s="25">
        <f t="shared" si="20"/>
        <v>0</v>
      </c>
      <c r="AV28" s="23"/>
      <c r="AW28" s="21"/>
      <c r="AX28" s="21"/>
      <c r="AY28" s="21"/>
      <c r="AZ28" s="25">
        <f t="shared" si="21"/>
        <v>0</v>
      </c>
      <c r="BA28" s="23"/>
      <c r="BB28" s="21"/>
      <c r="BC28" s="21"/>
      <c r="BD28" s="21"/>
      <c r="BE28" s="25">
        <f t="shared" si="22"/>
        <v>0</v>
      </c>
      <c r="BF28" s="23"/>
      <c r="BG28" s="21"/>
      <c r="BH28" s="21"/>
      <c r="BI28" s="21"/>
      <c r="BJ28" s="25">
        <f>SUM(BF28:BI28)</f>
        <v>0</v>
      </c>
      <c r="BK28" s="23"/>
      <c r="BL28" s="21"/>
      <c r="BM28" s="21"/>
      <c r="BN28" s="21"/>
      <c r="BO28" s="25">
        <f>SUM(BK28:BN28)</f>
        <v>0</v>
      </c>
      <c r="BP28" s="23"/>
      <c r="BQ28" s="21"/>
      <c r="BR28" s="21"/>
      <c r="BS28" s="21"/>
      <c r="BT28" s="25">
        <f t="shared" si="4"/>
        <v>0</v>
      </c>
      <c r="BU28" s="21"/>
      <c r="BV28" s="26"/>
      <c r="BW28" s="21"/>
      <c r="BX28" s="21"/>
      <c r="BY28" s="21"/>
      <c r="BZ28" s="27">
        <f t="shared" si="0"/>
        <v>0</v>
      </c>
      <c r="CA28" s="26"/>
      <c r="CB28" s="21"/>
      <c r="CC28" s="21"/>
      <c r="CD28" s="21"/>
      <c r="CE28" s="27">
        <f t="shared" si="1"/>
        <v>0</v>
      </c>
      <c r="CF28" s="26"/>
      <c r="CG28" s="21"/>
      <c r="CH28" s="21"/>
      <c r="CI28" s="21"/>
      <c r="CJ28" s="27">
        <f t="shared" si="2"/>
        <v>0</v>
      </c>
    </row>
    <row r="29" spans="2:88" x14ac:dyDescent="0.25">
      <c r="B29" t="s">
        <v>35</v>
      </c>
      <c r="C29" s="17">
        <v>183379000</v>
      </c>
      <c r="D29" t="s">
        <v>119</v>
      </c>
      <c r="E29" t="str">
        <f t="shared" si="3"/>
        <v>Less than $350 Million</v>
      </c>
      <c r="F29">
        <f>IF(C29="", "", COUNTIF($C$6:C29,"&gt;0"))</f>
        <v>24</v>
      </c>
      <c r="G29" t="str">
        <f>IF(E29&lt;&gt;'[1]By Asset Category'!$B$1,"",COUNTIF($E$6:E29,'[1]By Asset Category'!$B$1))</f>
        <v/>
      </c>
      <c r="H29" t="s">
        <v>120</v>
      </c>
      <c r="I29" t="s">
        <v>121</v>
      </c>
      <c r="J29" t="s">
        <v>122</v>
      </c>
      <c r="K29" t="s">
        <v>123</v>
      </c>
      <c r="L29" s="18"/>
      <c r="M29" s="19">
        <v>0</v>
      </c>
      <c r="N29" s="19">
        <v>0</v>
      </c>
      <c r="O29" s="19">
        <v>0</v>
      </c>
      <c r="P29" s="19">
        <v>0</v>
      </c>
      <c r="Q29" s="20">
        <f>SUM(M29:P29)</f>
        <v>0</v>
      </c>
      <c r="R29" s="19">
        <v>0</v>
      </c>
      <c r="S29" s="19">
        <v>0</v>
      </c>
      <c r="T29" s="19">
        <v>0</v>
      </c>
      <c r="U29" s="19">
        <v>0</v>
      </c>
      <c r="V29" s="20">
        <f>SUM(R29:U29)</f>
        <v>0</v>
      </c>
      <c r="W29" s="21">
        <v>150</v>
      </c>
      <c r="X29" s="21">
        <v>0</v>
      </c>
      <c r="Y29" s="21">
        <v>0</v>
      </c>
      <c r="Z29" s="21">
        <v>0</v>
      </c>
      <c r="AA29" s="22">
        <f>SUM(W29:Z29)</f>
        <v>150</v>
      </c>
      <c r="AB29" s="23">
        <v>125</v>
      </c>
      <c r="AC29" s="21"/>
      <c r="AD29" s="21"/>
      <c r="AE29" s="21"/>
      <c r="AF29" s="24">
        <f>SUM(AB29:AE29)</f>
        <v>125</v>
      </c>
      <c r="AG29" s="23">
        <v>330</v>
      </c>
      <c r="AH29" s="21">
        <v>100</v>
      </c>
      <c r="AI29" s="21"/>
      <c r="AJ29" s="21"/>
      <c r="AK29" s="25">
        <f>SUM(AG29:AJ29)</f>
        <v>430</v>
      </c>
      <c r="AL29" s="23">
        <v>475</v>
      </c>
      <c r="AM29" s="21"/>
      <c r="AN29" s="21"/>
      <c r="AO29" s="21"/>
      <c r="AP29" s="25">
        <f>SUM(AL29:AO29)</f>
        <v>475</v>
      </c>
      <c r="AQ29" s="23"/>
      <c r="AR29" s="21"/>
      <c r="AS29" s="21"/>
      <c r="AT29" s="21"/>
      <c r="AU29" s="25">
        <f t="shared" si="20"/>
        <v>0</v>
      </c>
      <c r="AV29" s="23"/>
      <c r="AW29" s="21"/>
      <c r="AX29" s="21"/>
      <c r="AY29" s="21"/>
      <c r="AZ29" s="25">
        <f t="shared" si="21"/>
        <v>0</v>
      </c>
      <c r="BA29" s="23"/>
      <c r="BB29" s="21"/>
      <c r="BC29" s="21"/>
      <c r="BD29" s="21"/>
      <c r="BE29" s="25">
        <f t="shared" si="22"/>
        <v>0</v>
      </c>
      <c r="BF29" s="23"/>
      <c r="BG29" s="21"/>
      <c r="BH29" s="21"/>
      <c r="BI29" s="21"/>
      <c r="BJ29" s="25">
        <f>SUM(BF29:BH29)</f>
        <v>0</v>
      </c>
      <c r="BK29" s="23"/>
      <c r="BL29" s="21"/>
      <c r="BM29" s="21"/>
      <c r="BN29" s="21"/>
      <c r="BO29" s="25">
        <f>SUM(BK29:BM29)</f>
        <v>0</v>
      </c>
      <c r="BP29" s="23"/>
      <c r="BQ29" s="21"/>
      <c r="BR29" s="21"/>
      <c r="BS29" s="21"/>
      <c r="BT29" s="25">
        <f t="shared" si="4"/>
        <v>0</v>
      </c>
      <c r="BU29" s="21"/>
      <c r="BV29" s="26"/>
      <c r="BW29" s="21"/>
      <c r="BX29" s="21"/>
      <c r="BY29" s="21"/>
      <c r="BZ29" s="27">
        <f t="shared" si="0"/>
        <v>0</v>
      </c>
      <c r="CA29" s="26"/>
      <c r="CB29" s="21"/>
      <c r="CC29" s="21"/>
      <c r="CD29" s="21"/>
      <c r="CE29" s="27">
        <f t="shared" si="1"/>
        <v>0</v>
      </c>
      <c r="CF29" s="26"/>
      <c r="CG29" s="21"/>
      <c r="CH29" s="21"/>
      <c r="CI29" s="21"/>
      <c r="CJ29" s="27">
        <f t="shared" si="2"/>
        <v>0</v>
      </c>
    </row>
    <row r="30" spans="2:88" x14ac:dyDescent="0.25">
      <c r="B30" t="s">
        <v>41</v>
      </c>
      <c r="C30" s="17">
        <v>11500000000</v>
      </c>
      <c r="D30" t="s">
        <v>124</v>
      </c>
      <c r="E30" t="str">
        <f t="shared" si="3"/>
        <v>Over $10 Billion</v>
      </c>
      <c r="F30">
        <f>IF(C30="", "", COUNTIF($C$6:C30,"&gt;0"))</f>
        <v>25</v>
      </c>
      <c r="G30" t="str">
        <f>IF(E30&lt;&gt;'[1]By Asset Category'!$B$1,"",COUNTIF($E$6:E30,'[1]By Asset Category'!$B$1))</f>
        <v/>
      </c>
      <c r="H30" s="30" t="s">
        <v>125</v>
      </c>
      <c r="I30" s="32" t="s">
        <v>126</v>
      </c>
      <c r="J30" t="s">
        <v>3</v>
      </c>
      <c r="K30" t="s">
        <v>3</v>
      </c>
      <c r="L30" s="33"/>
      <c r="M30" s="34">
        <v>0</v>
      </c>
      <c r="N30" s="19">
        <v>0</v>
      </c>
      <c r="O30" s="19">
        <v>0</v>
      </c>
      <c r="P30" s="19"/>
      <c r="Q30" s="19">
        <f>SUM(M30:P30)</f>
        <v>0</v>
      </c>
      <c r="R30" s="34">
        <v>700</v>
      </c>
      <c r="S30" s="19">
        <v>200</v>
      </c>
      <c r="T30" s="19">
        <v>0</v>
      </c>
      <c r="U30" s="19"/>
      <c r="V30" s="19">
        <f>SUM(R30:U30)</f>
        <v>900</v>
      </c>
      <c r="W30" s="26">
        <v>350</v>
      </c>
      <c r="X30" s="21">
        <v>650</v>
      </c>
      <c r="Y30" s="21">
        <v>1000</v>
      </c>
      <c r="Z30" s="21">
        <v>0</v>
      </c>
      <c r="AA30" s="22">
        <f>SUM(W30:Z30)</f>
        <v>2000</v>
      </c>
      <c r="AB30" s="23">
        <v>250</v>
      </c>
      <c r="AC30" s="21">
        <v>750</v>
      </c>
      <c r="AD30" s="21"/>
      <c r="AE30" s="21"/>
      <c r="AF30" s="35">
        <f>SUM(AB30:AE30)</f>
        <v>1000</v>
      </c>
      <c r="AG30" s="23"/>
      <c r="AH30" s="21"/>
      <c r="AI30" s="21"/>
      <c r="AJ30" s="21"/>
      <c r="AK30" s="22">
        <f>SUM(AG30:AJ30)</f>
        <v>0</v>
      </c>
      <c r="AL30" s="23">
        <v>1395</v>
      </c>
      <c r="AM30" s="21">
        <v>650</v>
      </c>
      <c r="AN30" s="21"/>
      <c r="AO30" s="21"/>
      <c r="AP30" s="22">
        <f>SUM(AL30:AO30)</f>
        <v>2045</v>
      </c>
      <c r="AQ30" s="23"/>
      <c r="AR30" s="21"/>
      <c r="AS30" s="21"/>
      <c r="AT30" s="21"/>
      <c r="AU30" s="25">
        <f t="shared" si="20"/>
        <v>0</v>
      </c>
      <c r="AV30" s="23"/>
      <c r="AW30" s="21"/>
      <c r="AX30" s="21"/>
      <c r="AY30" s="21"/>
      <c r="AZ30" s="25">
        <f t="shared" si="21"/>
        <v>0</v>
      </c>
      <c r="BA30" s="23"/>
      <c r="BB30" s="21"/>
      <c r="BC30" s="21"/>
      <c r="BD30" s="21"/>
      <c r="BE30" s="25">
        <f t="shared" si="22"/>
        <v>0</v>
      </c>
      <c r="BF30" s="23">
        <v>1000</v>
      </c>
      <c r="BG30" s="21"/>
      <c r="BH30" s="21"/>
      <c r="BI30" s="21"/>
      <c r="BJ30" s="25"/>
      <c r="BK30" s="23"/>
      <c r="BL30" s="21"/>
      <c r="BM30" s="21"/>
      <c r="BN30" s="21"/>
      <c r="BO30" s="25"/>
      <c r="BP30" s="23"/>
      <c r="BQ30" s="21"/>
      <c r="BR30" s="21"/>
      <c r="BS30" s="21"/>
      <c r="BT30" s="25">
        <f t="shared" si="4"/>
        <v>0</v>
      </c>
      <c r="BU30" s="21"/>
      <c r="BV30" s="26"/>
      <c r="BW30" s="21"/>
      <c r="BX30" s="21"/>
      <c r="BY30" s="21"/>
      <c r="BZ30" s="27">
        <f t="shared" si="0"/>
        <v>0</v>
      </c>
      <c r="CA30" s="26"/>
      <c r="CB30" s="21"/>
      <c r="CC30" s="21"/>
      <c r="CD30" s="21"/>
      <c r="CE30" s="27">
        <f t="shared" si="1"/>
        <v>0</v>
      </c>
      <c r="CF30" s="26"/>
      <c r="CG30" s="21"/>
      <c r="CH30" s="21"/>
      <c r="CI30" s="21"/>
      <c r="CJ30" s="27">
        <f t="shared" si="2"/>
        <v>0</v>
      </c>
    </row>
    <row r="31" spans="2:88" x14ac:dyDescent="0.25">
      <c r="B31" t="s">
        <v>58</v>
      </c>
      <c r="C31" s="17">
        <v>10934369000</v>
      </c>
      <c r="D31" t="s">
        <v>127</v>
      </c>
      <c r="E31" t="str">
        <f t="shared" si="3"/>
        <v>Over $10 Billion</v>
      </c>
      <c r="F31">
        <f>IF(C31="", "", COUNTIF($C$6:C31,"&gt;0"))</f>
        <v>26</v>
      </c>
      <c r="G31" t="str">
        <f>IF(E31&lt;&gt;'[1]By Asset Category'!$B$1,"",COUNTIF($E$6:E31,'[1]By Asset Category'!$B$1))</f>
        <v/>
      </c>
      <c r="H31" t="s">
        <v>128</v>
      </c>
      <c r="I31" t="s">
        <v>3</v>
      </c>
      <c r="J31" t="s">
        <v>3</v>
      </c>
      <c r="K31" t="s">
        <v>3</v>
      </c>
      <c r="L31" s="33"/>
      <c r="M31" s="34"/>
      <c r="N31" s="19"/>
      <c r="O31" s="19"/>
      <c r="P31" s="19"/>
      <c r="Q31" s="19"/>
      <c r="R31" s="34"/>
      <c r="S31" s="19"/>
      <c r="T31" s="19"/>
      <c r="U31" s="19"/>
      <c r="V31" s="19"/>
      <c r="W31" s="26"/>
      <c r="X31" s="21"/>
      <c r="Y31" s="21"/>
      <c r="Z31" s="21"/>
      <c r="AA31" s="22"/>
      <c r="AB31" s="23"/>
      <c r="AC31" s="21"/>
      <c r="AD31" s="21"/>
      <c r="AE31" s="21"/>
      <c r="AF31" s="35"/>
      <c r="AG31" s="23"/>
      <c r="AH31" s="21"/>
      <c r="AI31" s="21">
        <v>2000</v>
      </c>
      <c r="AJ31" s="21"/>
      <c r="AK31" s="22"/>
      <c r="AL31" s="23"/>
      <c r="AM31" s="21"/>
      <c r="AN31" s="21"/>
      <c r="AO31" s="21"/>
      <c r="AP31" s="22"/>
      <c r="AQ31" s="23"/>
      <c r="AR31" s="21"/>
      <c r="AS31" s="21"/>
      <c r="AT31" s="21"/>
      <c r="AU31" s="25"/>
      <c r="AV31" s="23">
        <v>225</v>
      </c>
      <c r="AW31" s="21">
        <v>1000</v>
      </c>
      <c r="AX31" s="21">
        <v>2000</v>
      </c>
      <c r="AY31" s="21"/>
      <c r="AZ31" s="25">
        <f t="shared" si="21"/>
        <v>3225</v>
      </c>
      <c r="BA31" s="23"/>
      <c r="BB31" s="21"/>
      <c r="BC31" s="21"/>
      <c r="BD31" s="21"/>
      <c r="BE31" s="25">
        <f t="shared" si="22"/>
        <v>0</v>
      </c>
      <c r="BF31" s="23"/>
      <c r="BG31" s="21"/>
      <c r="BH31" s="21"/>
      <c r="BI31" s="21"/>
      <c r="BJ31" s="25">
        <f>SUM(BF31:BI31)</f>
        <v>0</v>
      </c>
      <c r="BK31" s="23"/>
      <c r="BL31" s="21"/>
      <c r="BM31" s="21"/>
      <c r="BN31" s="21"/>
      <c r="BO31" s="25">
        <f>SUM(BK31:BN31)</f>
        <v>0</v>
      </c>
      <c r="BP31" s="23"/>
      <c r="BQ31" s="21"/>
      <c r="BR31" s="21"/>
      <c r="BS31" s="21"/>
      <c r="BT31" s="25">
        <f t="shared" si="4"/>
        <v>0</v>
      </c>
      <c r="BU31" s="21">
        <v>300</v>
      </c>
      <c r="BV31" s="26"/>
      <c r="BW31" s="21"/>
      <c r="BX31" s="21"/>
      <c r="BY31" s="21"/>
      <c r="BZ31" s="27">
        <f t="shared" si="0"/>
        <v>0</v>
      </c>
      <c r="CA31" s="26"/>
      <c r="CB31" s="21"/>
      <c r="CC31" s="21"/>
      <c r="CD31" s="21"/>
      <c r="CE31" s="27">
        <f t="shared" si="1"/>
        <v>0</v>
      </c>
      <c r="CF31" s="26"/>
      <c r="CG31" s="21"/>
      <c r="CH31" s="21"/>
      <c r="CI31" s="21"/>
      <c r="CJ31" s="27">
        <f t="shared" si="2"/>
        <v>0</v>
      </c>
    </row>
    <row r="32" spans="2:88" x14ac:dyDescent="0.25">
      <c r="B32" t="s">
        <v>35</v>
      </c>
      <c r="C32" s="17">
        <v>1104652000</v>
      </c>
      <c r="D32" t="s">
        <v>129</v>
      </c>
      <c r="E32" t="str">
        <f t="shared" si="3"/>
        <v>$800 Million - $2 Billion</v>
      </c>
      <c r="F32">
        <f>IF(C32="", "", COUNTIF($C$6:C32,"&gt;0"))</f>
        <v>27</v>
      </c>
      <c r="G32">
        <f>IF(E32&lt;&gt;'[1]By Asset Category'!$B$1,"",COUNTIF($E$6:E32,'[1]By Asset Category'!$B$1))</f>
        <v>7</v>
      </c>
      <c r="H32" t="s">
        <v>130</v>
      </c>
      <c r="I32" t="s">
        <v>131</v>
      </c>
      <c r="J32" t="s">
        <v>132</v>
      </c>
      <c r="K32" t="s">
        <v>133</v>
      </c>
      <c r="L32" s="33"/>
      <c r="M32" s="34">
        <v>0</v>
      </c>
      <c r="N32" s="19">
        <v>0</v>
      </c>
      <c r="O32" s="19">
        <v>2000</v>
      </c>
      <c r="P32" s="19"/>
      <c r="Q32" s="19">
        <f t="shared" ref="Q32:Q58" si="23">SUM(M32:P32)</f>
        <v>2000</v>
      </c>
      <c r="R32" s="34">
        <v>0</v>
      </c>
      <c r="S32" s="19">
        <v>0</v>
      </c>
      <c r="T32" s="19">
        <v>2500</v>
      </c>
      <c r="U32" s="19"/>
      <c r="V32" s="19">
        <f t="shared" ref="V32:V58" si="24">SUM(R32:U32)</f>
        <v>2500</v>
      </c>
      <c r="W32" s="26">
        <v>0</v>
      </c>
      <c r="X32" s="21">
        <v>0</v>
      </c>
      <c r="Y32" s="21">
        <v>3500</v>
      </c>
      <c r="Z32" s="21"/>
      <c r="AA32" s="22">
        <f t="shared" ref="AA32:AA58" si="25">SUM(W32:Z32)</f>
        <v>3500</v>
      </c>
      <c r="AB32" s="23">
        <v>100</v>
      </c>
      <c r="AC32" s="21"/>
      <c r="AD32" s="21">
        <v>3500</v>
      </c>
      <c r="AE32" s="21"/>
      <c r="AF32" s="35">
        <f t="shared" ref="AF32:AF58" si="26">SUM(AB32:AE32)</f>
        <v>3600</v>
      </c>
      <c r="AG32" s="23">
        <v>325</v>
      </c>
      <c r="AH32" s="21"/>
      <c r="AI32" s="21">
        <v>4000</v>
      </c>
      <c r="AJ32" s="21"/>
      <c r="AK32" s="22">
        <f t="shared" ref="AK32:AK58" si="27">SUM(AG32:AJ32)</f>
        <v>4325</v>
      </c>
      <c r="AL32" s="23"/>
      <c r="AM32" s="21"/>
      <c r="AN32" s="21">
        <v>5000</v>
      </c>
      <c r="AO32" s="21"/>
      <c r="AP32" s="22">
        <f t="shared" ref="AP32:AP58" si="28">SUM(AL32:AO32)</f>
        <v>5000</v>
      </c>
      <c r="AQ32" s="23"/>
      <c r="AR32" s="21"/>
      <c r="AS32" s="21">
        <v>5000</v>
      </c>
      <c r="AT32" s="21"/>
      <c r="AU32" s="25">
        <f t="shared" ref="AU32:AU58" si="29">SUM(AQ32:AT32)</f>
        <v>5000</v>
      </c>
      <c r="AV32" s="23"/>
      <c r="AW32" s="21"/>
      <c r="AX32" s="21">
        <v>5000</v>
      </c>
      <c r="AY32" s="21"/>
      <c r="AZ32" s="25">
        <f t="shared" si="21"/>
        <v>5000</v>
      </c>
      <c r="BA32" s="23"/>
      <c r="BB32" s="21"/>
      <c r="BC32" s="21">
        <v>5000</v>
      </c>
      <c r="BD32" s="21"/>
      <c r="BE32" s="25">
        <f t="shared" si="22"/>
        <v>5000</v>
      </c>
      <c r="BF32" s="23"/>
      <c r="BG32" s="21"/>
      <c r="BH32" s="21">
        <v>5000</v>
      </c>
      <c r="BI32" s="21"/>
      <c r="BJ32" s="25">
        <f>SUM(BF32:BH32)</f>
        <v>5000</v>
      </c>
      <c r="BK32" s="23"/>
      <c r="BL32" s="21"/>
      <c r="BM32" s="21">
        <v>5000</v>
      </c>
      <c r="BN32" s="21"/>
      <c r="BO32" s="25">
        <f>SUM(BK32:BM32)</f>
        <v>5000</v>
      </c>
      <c r="BP32" s="23"/>
      <c r="BQ32" s="21"/>
      <c r="BR32" s="21">
        <v>5000</v>
      </c>
      <c r="BS32" s="21"/>
      <c r="BT32" s="25">
        <f t="shared" si="4"/>
        <v>5000</v>
      </c>
      <c r="BU32" s="21"/>
      <c r="BV32" s="26"/>
      <c r="BW32" s="21"/>
      <c r="BX32" s="21">
        <v>5000</v>
      </c>
      <c r="BY32" s="21"/>
      <c r="BZ32" s="27">
        <f t="shared" si="0"/>
        <v>5000</v>
      </c>
      <c r="CA32" s="26"/>
      <c r="CB32" s="21"/>
      <c r="CC32" s="21">
        <v>5000</v>
      </c>
      <c r="CD32" s="21"/>
      <c r="CE32" s="27">
        <f t="shared" si="1"/>
        <v>5000</v>
      </c>
      <c r="CF32" s="26"/>
      <c r="CG32" s="21"/>
      <c r="CH32" s="21">
        <v>5000</v>
      </c>
      <c r="CI32" s="21"/>
      <c r="CJ32" s="27">
        <f t="shared" si="2"/>
        <v>5000</v>
      </c>
    </row>
    <row r="33" spans="2:88" x14ac:dyDescent="0.25">
      <c r="B33" t="s">
        <v>53</v>
      </c>
      <c r="C33" s="17">
        <v>76646000</v>
      </c>
      <c r="D33" t="s">
        <v>134</v>
      </c>
      <c r="E33" t="str">
        <f t="shared" si="3"/>
        <v>Less than $350 Million</v>
      </c>
      <c r="F33">
        <f>IF(C33="", "", COUNTIF($C$6:C33,"&gt;0"))</f>
        <v>28</v>
      </c>
      <c r="G33" t="str">
        <f>IF(E33&lt;&gt;'[1]By Asset Category'!$B$1,"",COUNTIF($E$6:E33,'[1]By Asset Category'!$B$1))</f>
        <v/>
      </c>
      <c r="H33" t="s">
        <v>135</v>
      </c>
      <c r="I33" t="s">
        <v>136</v>
      </c>
      <c r="J33" t="s">
        <v>137</v>
      </c>
      <c r="K33" t="s">
        <v>138</v>
      </c>
      <c r="L33" s="33"/>
      <c r="M33" s="34">
        <v>0</v>
      </c>
      <c r="N33" s="19">
        <v>0</v>
      </c>
      <c r="O33" s="19">
        <v>0</v>
      </c>
      <c r="P33" s="19">
        <v>0</v>
      </c>
      <c r="Q33" s="19">
        <f t="shared" si="23"/>
        <v>0</v>
      </c>
      <c r="R33" s="34">
        <v>0</v>
      </c>
      <c r="S33" s="19">
        <v>0</v>
      </c>
      <c r="T33" s="19">
        <v>0</v>
      </c>
      <c r="U33" s="19">
        <v>0</v>
      </c>
      <c r="V33" s="19">
        <f t="shared" si="24"/>
        <v>0</v>
      </c>
      <c r="W33" s="26">
        <v>0</v>
      </c>
      <c r="X33" s="21">
        <v>0</v>
      </c>
      <c r="Y33" s="21">
        <v>0</v>
      </c>
      <c r="Z33" s="21"/>
      <c r="AA33" s="22">
        <f t="shared" si="25"/>
        <v>0</v>
      </c>
      <c r="AB33" s="23"/>
      <c r="AC33" s="21"/>
      <c r="AD33" s="21"/>
      <c r="AE33" s="21"/>
      <c r="AF33" s="35">
        <f t="shared" si="26"/>
        <v>0</v>
      </c>
      <c r="AG33" s="23"/>
      <c r="AH33" s="21"/>
      <c r="AI33" s="21"/>
      <c r="AJ33" s="21"/>
      <c r="AK33" s="22">
        <f t="shared" si="27"/>
        <v>0</v>
      </c>
      <c r="AL33" s="23"/>
      <c r="AM33" s="21"/>
      <c r="AN33" s="21"/>
      <c r="AO33" s="21"/>
      <c r="AP33" s="22">
        <f t="shared" si="28"/>
        <v>0</v>
      </c>
      <c r="AQ33" s="23"/>
      <c r="AR33" s="21"/>
      <c r="AS33" s="21"/>
      <c r="AT33" s="21"/>
      <c r="AU33" s="25">
        <f t="shared" si="29"/>
        <v>0</v>
      </c>
      <c r="AV33" s="23"/>
      <c r="AW33" s="21"/>
      <c r="AX33" s="21"/>
      <c r="AY33" s="21"/>
      <c r="AZ33" s="25">
        <f t="shared" si="21"/>
        <v>0</v>
      </c>
      <c r="BA33" s="23"/>
      <c r="BB33" s="21"/>
      <c r="BC33" s="21"/>
      <c r="BD33" s="21"/>
      <c r="BE33" s="25">
        <f t="shared" si="22"/>
        <v>0</v>
      </c>
      <c r="BF33" s="23"/>
      <c r="BG33" s="21"/>
      <c r="BH33" s="21"/>
      <c r="BI33" s="21"/>
      <c r="BJ33" s="25">
        <f t="shared" ref="BJ33:BJ39" si="30">SUM(BF33:BI33)</f>
        <v>0</v>
      </c>
      <c r="BK33" s="23"/>
      <c r="BL33" s="21"/>
      <c r="BM33" s="21"/>
      <c r="BN33" s="21"/>
      <c r="BO33" s="25">
        <f t="shared" ref="BO33:BO39" si="31">SUM(BK33:BN33)</f>
        <v>0</v>
      </c>
      <c r="BP33" s="23"/>
      <c r="BQ33" s="21"/>
      <c r="BR33" s="21"/>
      <c r="BS33" s="21"/>
      <c r="BT33" s="25">
        <f t="shared" si="4"/>
        <v>0</v>
      </c>
      <c r="BU33" s="21"/>
      <c r="BV33" s="26"/>
      <c r="BW33" s="21"/>
      <c r="BX33" s="21"/>
      <c r="BY33" s="21"/>
      <c r="BZ33" s="27">
        <f t="shared" si="0"/>
        <v>0</v>
      </c>
      <c r="CA33" s="26"/>
      <c r="CB33" s="21"/>
      <c r="CC33" s="21"/>
      <c r="CD33" s="21"/>
      <c r="CE33" s="27">
        <f t="shared" si="1"/>
        <v>0</v>
      </c>
      <c r="CF33" s="26"/>
      <c r="CG33" s="21"/>
      <c r="CH33" s="21"/>
      <c r="CI33" s="21"/>
      <c r="CJ33" s="27">
        <f t="shared" si="2"/>
        <v>0</v>
      </c>
    </row>
    <row r="34" spans="2:88" x14ac:dyDescent="0.25">
      <c r="B34" t="s">
        <v>53</v>
      </c>
      <c r="C34" s="17">
        <v>161893000</v>
      </c>
      <c r="D34" t="s">
        <v>139</v>
      </c>
      <c r="E34" t="str">
        <f t="shared" si="3"/>
        <v>Less than $350 Million</v>
      </c>
      <c r="F34">
        <f>IF(C34="", "", COUNTIF($C$6:C34,"&gt;0"))</f>
        <v>29</v>
      </c>
      <c r="G34" t="str">
        <f>IF(E34&lt;&gt;'[1]By Asset Category'!$B$1,"",COUNTIF($E$6:E34,'[1]By Asset Category'!$B$1))</f>
        <v/>
      </c>
      <c r="H34" t="s">
        <v>140</v>
      </c>
      <c r="I34" t="s">
        <v>86</v>
      </c>
      <c r="J34" t="s">
        <v>141</v>
      </c>
      <c r="K34" t="s">
        <v>142</v>
      </c>
      <c r="L34" s="33"/>
      <c r="M34" s="34">
        <v>0</v>
      </c>
      <c r="N34" s="19">
        <v>0</v>
      </c>
      <c r="O34" s="19">
        <v>0</v>
      </c>
      <c r="P34" s="19">
        <v>0</v>
      </c>
      <c r="Q34" s="19">
        <f t="shared" si="23"/>
        <v>0</v>
      </c>
      <c r="R34" s="34">
        <v>0</v>
      </c>
      <c r="S34" s="19">
        <v>0</v>
      </c>
      <c r="T34" s="19">
        <v>0</v>
      </c>
      <c r="U34" s="19">
        <v>0</v>
      </c>
      <c r="V34" s="19">
        <f t="shared" si="24"/>
        <v>0</v>
      </c>
      <c r="W34" s="26">
        <v>0</v>
      </c>
      <c r="X34" s="21">
        <v>0</v>
      </c>
      <c r="Y34" s="21">
        <v>0</v>
      </c>
      <c r="Z34" s="21"/>
      <c r="AA34" s="22">
        <f t="shared" si="25"/>
        <v>0</v>
      </c>
      <c r="AB34" s="23"/>
      <c r="AC34" s="21"/>
      <c r="AD34" s="21"/>
      <c r="AE34" s="21"/>
      <c r="AF34" s="35">
        <f t="shared" si="26"/>
        <v>0</v>
      </c>
      <c r="AG34" s="23">
        <v>10</v>
      </c>
      <c r="AH34" s="21"/>
      <c r="AI34" s="21"/>
      <c r="AJ34" s="21"/>
      <c r="AK34" s="22">
        <f t="shared" si="27"/>
        <v>10</v>
      </c>
      <c r="AL34" s="23">
        <v>200</v>
      </c>
      <c r="AM34" s="21">
        <v>100</v>
      </c>
      <c r="AN34" s="21"/>
      <c r="AO34" s="21"/>
      <c r="AP34" s="22">
        <f t="shared" si="28"/>
        <v>300</v>
      </c>
      <c r="AQ34" s="23"/>
      <c r="AR34" s="21"/>
      <c r="AS34" s="21"/>
      <c r="AT34" s="21"/>
      <c r="AU34" s="25">
        <f t="shared" si="29"/>
        <v>0</v>
      </c>
      <c r="AV34" s="23"/>
      <c r="AW34" s="21"/>
      <c r="AX34" s="21"/>
      <c r="AY34" s="21"/>
      <c r="AZ34" s="25">
        <f t="shared" si="21"/>
        <v>0</v>
      </c>
      <c r="BA34" s="23"/>
      <c r="BB34" s="21"/>
      <c r="BC34" s="21"/>
      <c r="BD34" s="21"/>
      <c r="BE34" s="25">
        <f t="shared" si="22"/>
        <v>0</v>
      </c>
      <c r="BF34" s="23"/>
      <c r="BG34" s="21"/>
      <c r="BH34" s="21"/>
      <c r="BI34" s="21"/>
      <c r="BJ34" s="25">
        <f t="shared" si="30"/>
        <v>0</v>
      </c>
      <c r="BK34" s="23"/>
      <c r="BL34" s="21"/>
      <c r="BM34" s="21"/>
      <c r="BN34" s="21"/>
      <c r="BO34" s="25">
        <f t="shared" si="31"/>
        <v>0</v>
      </c>
      <c r="BP34" s="23"/>
      <c r="BQ34" s="21"/>
      <c r="BR34" s="21"/>
      <c r="BS34" s="21"/>
      <c r="BT34" s="25">
        <f t="shared" si="4"/>
        <v>0</v>
      </c>
      <c r="BU34" s="21"/>
      <c r="BV34" s="26"/>
      <c r="BW34" s="21"/>
      <c r="BX34" s="21"/>
      <c r="BY34" s="21"/>
      <c r="BZ34" s="27">
        <f t="shared" si="0"/>
        <v>0</v>
      </c>
      <c r="CA34" s="26"/>
      <c r="CB34" s="21"/>
      <c r="CC34" s="21"/>
      <c r="CD34" s="21"/>
      <c r="CE34" s="27">
        <f t="shared" si="1"/>
        <v>0</v>
      </c>
      <c r="CF34" s="26"/>
      <c r="CG34" s="21"/>
      <c r="CH34" s="21"/>
      <c r="CI34" s="21"/>
      <c r="CJ34" s="27">
        <f t="shared" si="2"/>
        <v>0</v>
      </c>
    </row>
    <row r="35" spans="2:88" x14ac:dyDescent="0.25">
      <c r="B35" t="s">
        <v>41</v>
      </c>
      <c r="C35" s="17">
        <v>589445000</v>
      </c>
      <c r="D35" t="s">
        <v>143</v>
      </c>
      <c r="E35" t="str">
        <f t="shared" si="3"/>
        <v>$350 Million - $800 Million</v>
      </c>
      <c r="F35">
        <f>IF(C35="", "", COUNTIF($C$6:C35,"&gt;0"))</f>
        <v>30</v>
      </c>
      <c r="G35" t="str">
        <f>IF(E35&lt;&gt;'[1]By Asset Category'!$B$1,"",COUNTIF($E$6:E35,'[1]By Asset Category'!$B$1))</f>
        <v/>
      </c>
      <c r="H35" s="30" t="s">
        <v>144</v>
      </c>
      <c r="L35" s="33" t="s">
        <v>3</v>
      </c>
      <c r="M35" s="34">
        <v>0</v>
      </c>
      <c r="N35" s="19">
        <v>0</v>
      </c>
      <c r="O35" s="19">
        <v>1000</v>
      </c>
      <c r="P35" s="19">
        <v>0</v>
      </c>
      <c r="Q35" s="19">
        <f t="shared" si="23"/>
        <v>1000</v>
      </c>
      <c r="R35" s="34">
        <v>0</v>
      </c>
      <c r="S35" s="19">
        <v>0</v>
      </c>
      <c r="T35" s="19">
        <v>0</v>
      </c>
      <c r="U35" s="19">
        <v>0</v>
      </c>
      <c r="V35" s="19">
        <f t="shared" si="24"/>
        <v>0</v>
      </c>
      <c r="W35" s="26">
        <v>0</v>
      </c>
      <c r="X35" s="21">
        <v>0</v>
      </c>
      <c r="Y35" s="21">
        <v>1000</v>
      </c>
      <c r="Z35" s="21"/>
      <c r="AA35" s="22">
        <f t="shared" si="25"/>
        <v>1000</v>
      </c>
      <c r="AB35" s="23"/>
      <c r="AC35" s="21"/>
      <c r="AD35" s="21">
        <v>1000</v>
      </c>
      <c r="AE35" s="21"/>
      <c r="AF35" s="35">
        <f t="shared" si="26"/>
        <v>1000</v>
      </c>
      <c r="AG35" s="23"/>
      <c r="AH35" s="21">
        <v>150</v>
      </c>
      <c r="AI35" s="21">
        <v>1000</v>
      </c>
      <c r="AJ35" s="21"/>
      <c r="AK35" s="22">
        <f t="shared" si="27"/>
        <v>1150</v>
      </c>
      <c r="AL35" s="23"/>
      <c r="AM35" s="21">
        <v>475</v>
      </c>
      <c r="AN35" s="21">
        <v>1000</v>
      </c>
      <c r="AO35" s="21"/>
      <c r="AP35" s="22">
        <f t="shared" si="28"/>
        <v>1475</v>
      </c>
      <c r="AQ35" s="23">
        <v>400</v>
      </c>
      <c r="AR35" s="21">
        <v>150</v>
      </c>
      <c r="AS35" s="21">
        <v>1000</v>
      </c>
      <c r="AT35" s="21"/>
      <c r="AU35" s="25">
        <f t="shared" si="29"/>
        <v>1550</v>
      </c>
      <c r="AV35" s="23">
        <v>300</v>
      </c>
      <c r="AW35" s="21">
        <v>450</v>
      </c>
      <c r="AX35" s="21">
        <v>2000</v>
      </c>
      <c r="AY35" s="21"/>
      <c r="AZ35" s="25">
        <f t="shared" si="21"/>
        <v>2750</v>
      </c>
      <c r="BA35" s="23">
        <v>300</v>
      </c>
      <c r="BB35" s="21">
        <v>350</v>
      </c>
      <c r="BC35" s="21">
        <v>1000</v>
      </c>
      <c r="BD35" s="21"/>
      <c r="BE35" s="25">
        <f t="shared" si="22"/>
        <v>1650</v>
      </c>
      <c r="BF35" s="23">
        <v>500</v>
      </c>
      <c r="BG35" s="21">
        <v>650</v>
      </c>
      <c r="BH35" s="21">
        <v>1000</v>
      </c>
      <c r="BI35" s="21"/>
      <c r="BJ35" s="25">
        <f t="shared" si="30"/>
        <v>2150</v>
      </c>
      <c r="BK35" s="23">
        <v>1500</v>
      </c>
      <c r="BL35" s="21">
        <v>400</v>
      </c>
      <c r="BM35" s="21">
        <v>1000</v>
      </c>
      <c r="BN35" s="21"/>
      <c r="BO35" s="25">
        <f t="shared" si="31"/>
        <v>2900</v>
      </c>
      <c r="BP35" s="28" t="s">
        <v>3</v>
      </c>
      <c r="BQ35" s="21">
        <v>500</v>
      </c>
      <c r="BR35" s="21">
        <v>2000</v>
      </c>
      <c r="BS35" s="21"/>
      <c r="BT35" s="25">
        <f t="shared" si="4"/>
        <v>2500</v>
      </c>
      <c r="BU35" s="21">
        <v>250</v>
      </c>
      <c r="BV35" s="36" t="s">
        <v>3</v>
      </c>
      <c r="BW35" s="21">
        <v>1150</v>
      </c>
      <c r="BX35" s="21">
        <v>2000</v>
      </c>
      <c r="BY35" s="21"/>
      <c r="BZ35" s="27">
        <f t="shared" si="0"/>
        <v>3150</v>
      </c>
      <c r="CA35" s="36">
        <v>0</v>
      </c>
      <c r="CB35" s="21">
        <v>1650</v>
      </c>
      <c r="CC35" s="21">
        <v>3000</v>
      </c>
      <c r="CD35" s="21"/>
      <c r="CE35" s="27">
        <f t="shared" si="1"/>
        <v>4650</v>
      </c>
      <c r="CF35" s="36">
        <v>0</v>
      </c>
      <c r="CG35" s="21">
        <v>1650</v>
      </c>
      <c r="CH35" s="21">
        <v>3000</v>
      </c>
      <c r="CI35" s="21"/>
      <c r="CJ35" s="27">
        <f t="shared" si="2"/>
        <v>4650</v>
      </c>
    </row>
    <row r="36" spans="2:88" x14ac:dyDescent="0.25">
      <c r="B36" t="s">
        <v>53</v>
      </c>
      <c r="C36" s="17">
        <v>2616812000</v>
      </c>
      <c r="D36" t="s">
        <v>145</v>
      </c>
      <c r="E36" t="str">
        <f t="shared" si="3"/>
        <v>$2 Billion - $10 Billion</v>
      </c>
      <c r="F36">
        <f>IF(C36="", "", COUNTIF($C$6:C36,"&gt;0"))</f>
        <v>31</v>
      </c>
      <c r="G36" t="str">
        <f>IF(E36&lt;&gt;'[1]By Asset Category'!$B$1,"",COUNTIF($E$6:E36,'[1]By Asset Category'!$B$1))</f>
        <v/>
      </c>
      <c r="H36" s="30" t="s">
        <v>146</v>
      </c>
      <c r="I36" t="s">
        <v>147</v>
      </c>
      <c r="L36" s="33" t="s">
        <v>46</v>
      </c>
      <c r="M36" s="34">
        <v>4475.0499999999993</v>
      </c>
      <c r="N36" s="19">
        <v>350</v>
      </c>
      <c r="O36" s="19">
        <v>3500</v>
      </c>
      <c r="P36" s="19"/>
      <c r="Q36" s="19">
        <f t="shared" si="23"/>
        <v>8325.0499999999993</v>
      </c>
      <c r="R36" s="34">
        <v>850</v>
      </c>
      <c r="S36" s="19">
        <v>0</v>
      </c>
      <c r="T36" s="19">
        <v>0</v>
      </c>
      <c r="U36" s="19"/>
      <c r="V36" s="19">
        <f t="shared" si="24"/>
        <v>850</v>
      </c>
      <c r="W36" s="26">
        <v>0</v>
      </c>
      <c r="X36" s="21">
        <v>0</v>
      </c>
      <c r="Y36" s="21">
        <v>5000</v>
      </c>
      <c r="Z36" s="21"/>
      <c r="AA36" s="22">
        <f t="shared" si="25"/>
        <v>5000</v>
      </c>
      <c r="AB36" s="23">
        <v>1805</v>
      </c>
      <c r="AC36" s="21">
        <v>100</v>
      </c>
      <c r="AD36" s="21">
        <v>5000</v>
      </c>
      <c r="AE36" s="21"/>
      <c r="AF36" s="35">
        <f t="shared" si="26"/>
        <v>6905</v>
      </c>
      <c r="AG36" s="23">
        <v>2105</v>
      </c>
      <c r="AH36" s="21">
        <v>250</v>
      </c>
      <c r="AI36" s="21">
        <v>4000</v>
      </c>
      <c r="AJ36" s="21"/>
      <c r="AK36" s="22">
        <f t="shared" si="27"/>
        <v>6355</v>
      </c>
      <c r="AL36" s="23">
        <v>1920</v>
      </c>
      <c r="AM36" s="21">
        <v>500</v>
      </c>
      <c r="AN36" s="21">
        <v>4000</v>
      </c>
      <c r="AO36" s="21"/>
      <c r="AP36" s="22">
        <f t="shared" si="28"/>
        <v>6420</v>
      </c>
      <c r="AQ36" s="23">
        <v>1545</v>
      </c>
      <c r="AR36" s="21"/>
      <c r="AS36" s="21">
        <v>5000</v>
      </c>
      <c r="AT36" s="21"/>
      <c r="AU36" s="25">
        <f t="shared" si="29"/>
        <v>6545</v>
      </c>
      <c r="AV36" s="23">
        <v>1950</v>
      </c>
      <c r="AW36" s="21">
        <v>200</v>
      </c>
      <c r="AX36" s="21">
        <v>5000</v>
      </c>
      <c r="AY36" s="21"/>
      <c r="AZ36" s="25">
        <f t="shared" si="21"/>
        <v>7150</v>
      </c>
      <c r="BA36" s="23">
        <v>1750</v>
      </c>
      <c r="BB36" s="21"/>
      <c r="BC36" s="21">
        <v>5000</v>
      </c>
      <c r="BD36" s="21"/>
      <c r="BE36" s="25">
        <f t="shared" si="22"/>
        <v>6750</v>
      </c>
      <c r="BF36" s="23">
        <v>2000</v>
      </c>
      <c r="BG36" s="21">
        <v>1000</v>
      </c>
      <c r="BH36" s="21">
        <v>5000</v>
      </c>
      <c r="BI36" s="21"/>
      <c r="BJ36" s="25">
        <f t="shared" si="30"/>
        <v>8000</v>
      </c>
      <c r="BK36" s="23">
        <v>2425</v>
      </c>
      <c r="BL36" s="21">
        <v>750</v>
      </c>
      <c r="BM36" s="21">
        <v>5000</v>
      </c>
      <c r="BN36" s="21"/>
      <c r="BO36" s="25">
        <f t="shared" si="31"/>
        <v>8175</v>
      </c>
      <c r="BP36" s="23">
        <v>1675</v>
      </c>
      <c r="BQ36" s="21">
        <v>900</v>
      </c>
      <c r="BR36" s="21"/>
      <c r="BS36" s="21"/>
      <c r="BT36" s="25">
        <f t="shared" si="4"/>
        <v>2575</v>
      </c>
      <c r="BU36" s="21">
        <v>500</v>
      </c>
      <c r="BV36" s="26">
        <v>3825</v>
      </c>
      <c r="BW36" s="21">
        <v>1000</v>
      </c>
      <c r="BX36" s="21">
        <v>5000</v>
      </c>
      <c r="BY36" s="21"/>
      <c r="BZ36" s="27">
        <f t="shared" si="0"/>
        <v>9825</v>
      </c>
      <c r="CA36" s="26">
        <v>3075</v>
      </c>
      <c r="CB36" s="21">
        <v>1000</v>
      </c>
      <c r="CC36" s="21">
        <v>5000</v>
      </c>
      <c r="CD36" s="21"/>
      <c r="CE36" s="27">
        <f t="shared" si="1"/>
        <v>9075</v>
      </c>
      <c r="CF36" s="26">
        <v>3075</v>
      </c>
      <c r="CG36" s="21">
        <v>1000</v>
      </c>
      <c r="CH36" s="21">
        <v>5000</v>
      </c>
      <c r="CI36" s="21"/>
      <c r="CJ36" s="27">
        <f t="shared" si="2"/>
        <v>9075</v>
      </c>
    </row>
    <row r="37" spans="2:88" x14ac:dyDescent="0.25">
      <c r="B37" t="s">
        <v>58</v>
      </c>
      <c r="C37" s="17">
        <v>1023545000</v>
      </c>
      <c r="D37" t="s">
        <v>148</v>
      </c>
      <c r="E37" t="str">
        <f t="shared" si="3"/>
        <v>$800 Million - $2 Billion</v>
      </c>
      <c r="F37">
        <f>IF(C37="", "", COUNTIF($C$6:C37,"&gt;0"))</f>
        <v>32</v>
      </c>
      <c r="G37">
        <f>IF(E37&lt;&gt;'[1]By Asset Category'!$B$1,"",COUNTIF($E$6:E37,'[1]By Asset Category'!$B$1))</f>
        <v>8</v>
      </c>
      <c r="H37" t="s">
        <v>149</v>
      </c>
      <c r="I37" t="s">
        <v>38</v>
      </c>
      <c r="J37" t="s">
        <v>150</v>
      </c>
      <c r="K37" t="s">
        <v>151</v>
      </c>
      <c r="L37" s="33" t="s">
        <v>46</v>
      </c>
      <c r="M37" s="34">
        <v>1115</v>
      </c>
      <c r="N37" s="19">
        <v>300</v>
      </c>
      <c r="O37" s="19">
        <v>1500</v>
      </c>
      <c r="P37" s="19"/>
      <c r="Q37" s="19">
        <f t="shared" si="23"/>
        <v>2915</v>
      </c>
      <c r="R37" s="34">
        <v>1000</v>
      </c>
      <c r="S37" s="19">
        <v>450</v>
      </c>
      <c r="T37" s="19">
        <v>500</v>
      </c>
      <c r="U37" s="19"/>
      <c r="V37" s="19">
        <f t="shared" si="24"/>
        <v>1950</v>
      </c>
      <c r="W37" s="26">
        <v>655</v>
      </c>
      <c r="X37" s="21">
        <v>500</v>
      </c>
      <c r="Y37" s="21">
        <v>500</v>
      </c>
      <c r="Z37" s="21"/>
      <c r="AA37" s="22">
        <f t="shared" si="25"/>
        <v>1655</v>
      </c>
      <c r="AB37" s="23">
        <v>785</v>
      </c>
      <c r="AC37" s="21">
        <v>900</v>
      </c>
      <c r="AD37" s="21">
        <v>500</v>
      </c>
      <c r="AE37" s="21"/>
      <c r="AF37" s="35">
        <f t="shared" si="26"/>
        <v>2185</v>
      </c>
      <c r="AG37" s="23">
        <v>1365</v>
      </c>
      <c r="AH37" s="21">
        <v>600</v>
      </c>
      <c r="AI37" s="21">
        <v>500</v>
      </c>
      <c r="AJ37" s="21"/>
      <c r="AK37" s="22">
        <f t="shared" si="27"/>
        <v>2465</v>
      </c>
      <c r="AL37" s="23">
        <v>1610</v>
      </c>
      <c r="AM37" s="21">
        <v>1700</v>
      </c>
      <c r="AN37" s="21">
        <v>500</v>
      </c>
      <c r="AO37" s="21"/>
      <c r="AP37" s="22">
        <f t="shared" si="28"/>
        <v>3810</v>
      </c>
      <c r="AQ37" s="23">
        <f>2405+50</f>
        <v>2455</v>
      </c>
      <c r="AR37" s="21">
        <v>1100</v>
      </c>
      <c r="AS37" s="21">
        <v>600</v>
      </c>
      <c r="AT37" s="21"/>
      <c r="AU37" s="25">
        <f t="shared" si="29"/>
        <v>4155</v>
      </c>
      <c r="AV37" s="23">
        <v>2530</v>
      </c>
      <c r="AW37" s="21">
        <v>650</v>
      </c>
      <c r="AX37" s="21">
        <v>600</v>
      </c>
      <c r="AY37" s="21"/>
      <c r="AZ37" s="25">
        <f t="shared" si="21"/>
        <v>3780</v>
      </c>
      <c r="BA37" s="23">
        <v>3065</v>
      </c>
      <c r="BB37" s="21">
        <v>1050</v>
      </c>
      <c r="BC37" s="21">
        <v>600</v>
      </c>
      <c r="BD37" s="21"/>
      <c r="BE37" s="25">
        <f t="shared" si="22"/>
        <v>4715</v>
      </c>
      <c r="BF37" s="23">
        <v>3200</v>
      </c>
      <c r="BG37" s="21">
        <v>1520</v>
      </c>
      <c r="BH37" s="21">
        <v>750</v>
      </c>
      <c r="BI37" s="21"/>
      <c r="BJ37" s="25">
        <f t="shared" si="30"/>
        <v>5470</v>
      </c>
      <c r="BK37" s="23">
        <v>3150</v>
      </c>
      <c r="BL37" s="21">
        <v>1350</v>
      </c>
      <c r="BM37" s="21">
        <v>1250</v>
      </c>
      <c r="BN37" s="21"/>
      <c r="BO37" s="25">
        <f t="shared" si="31"/>
        <v>5750</v>
      </c>
      <c r="BP37" s="23">
        <v>3200</v>
      </c>
      <c r="BQ37" s="21">
        <v>1850</v>
      </c>
      <c r="BR37" s="21">
        <v>1250</v>
      </c>
      <c r="BS37" s="21"/>
      <c r="BT37" s="25">
        <f t="shared" si="4"/>
        <v>6300</v>
      </c>
      <c r="BU37" s="21"/>
      <c r="BV37" s="26">
        <v>2450</v>
      </c>
      <c r="BW37" s="21">
        <v>2075</v>
      </c>
      <c r="BX37" s="21">
        <v>1500</v>
      </c>
      <c r="BY37" s="21"/>
      <c r="BZ37" s="27">
        <f t="shared" si="0"/>
        <v>6025</v>
      </c>
      <c r="CA37" s="26">
        <v>1925</v>
      </c>
      <c r="CB37" s="21">
        <v>2575</v>
      </c>
      <c r="CC37" s="21">
        <v>3000</v>
      </c>
      <c r="CD37" s="21"/>
      <c r="CE37" s="27">
        <f t="shared" si="1"/>
        <v>7500</v>
      </c>
      <c r="CF37" s="26">
        <v>1925</v>
      </c>
      <c r="CG37" s="21">
        <v>2575</v>
      </c>
      <c r="CH37" s="21">
        <v>3000</v>
      </c>
      <c r="CI37" s="21"/>
      <c r="CJ37" s="27">
        <f t="shared" si="2"/>
        <v>7500</v>
      </c>
    </row>
    <row r="38" spans="2:88" s="31" customFormat="1" x14ac:dyDescent="0.25">
      <c r="B38" s="31" t="s">
        <v>152</v>
      </c>
      <c r="C38" s="37">
        <v>1249928000</v>
      </c>
      <c r="D38" s="31" t="s">
        <v>153</v>
      </c>
      <c r="E38" t="str">
        <f t="shared" si="3"/>
        <v>$800 Million - $2 Billion</v>
      </c>
      <c r="F38">
        <f>IF(C38="", "", COUNTIF($C$6:C38,"&gt;0"))</f>
        <v>33</v>
      </c>
      <c r="G38">
        <f>IF(E38&lt;&gt;'[1]By Asset Category'!$B$1,"",COUNTIF($E$6:E38,'[1]By Asset Category'!$B$1))</f>
        <v>9</v>
      </c>
      <c r="H38" s="31" t="s">
        <v>154</v>
      </c>
      <c r="L38" s="38"/>
      <c r="M38" s="39"/>
      <c r="N38" s="40"/>
      <c r="O38" s="40"/>
      <c r="P38" s="40"/>
      <c r="Q38" s="40"/>
      <c r="R38" s="39"/>
      <c r="S38" s="40"/>
      <c r="T38" s="40"/>
      <c r="U38" s="40"/>
      <c r="V38" s="40"/>
      <c r="W38" s="41"/>
      <c r="X38" s="42"/>
      <c r="Y38" s="42"/>
      <c r="Z38" s="42"/>
      <c r="AA38" s="43"/>
      <c r="AB38" s="44"/>
      <c r="AC38" s="42"/>
      <c r="AD38" s="42"/>
      <c r="AE38" s="42"/>
      <c r="AF38" s="45"/>
      <c r="AG38" s="44"/>
      <c r="AH38" s="42"/>
      <c r="AI38" s="42"/>
      <c r="AJ38" s="42"/>
      <c r="AK38" s="43"/>
      <c r="AL38" s="44"/>
      <c r="AM38" s="42"/>
      <c r="AN38" s="42"/>
      <c r="AO38" s="42"/>
      <c r="AP38" s="43"/>
      <c r="AQ38" s="44"/>
      <c r="AR38" s="42"/>
      <c r="AS38" s="42"/>
      <c r="AT38" s="42"/>
      <c r="AU38" s="46"/>
      <c r="AV38" s="44"/>
      <c r="AW38" s="42"/>
      <c r="AX38" s="42"/>
      <c r="AY38" s="42"/>
      <c r="AZ38" s="46"/>
      <c r="BA38" s="44"/>
      <c r="BB38" s="42"/>
      <c r="BC38" s="42"/>
      <c r="BD38" s="42"/>
      <c r="BE38" s="46"/>
      <c r="BF38" s="44"/>
      <c r="BG38" s="42"/>
      <c r="BH38" s="42"/>
      <c r="BI38" s="42"/>
      <c r="BJ38" s="46"/>
      <c r="BK38" s="44"/>
      <c r="BL38" s="42"/>
      <c r="BM38" s="42"/>
      <c r="BN38" s="42"/>
      <c r="BO38" s="46"/>
      <c r="BP38" s="44"/>
      <c r="BQ38" s="42"/>
      <c r="BR38" s="42"/>
      <c r="BS38" s="42"/>
      <c r="BT38" s="46"/>
      <c r="BU38" s="42"/>
      <c r="BV38" s="41"/>
      <c r="BW38" s="42"/>
      <c r="BX38" s="42"/>
      <c r="BY38" s="42"/>
      <c r="BZ38" s="47"/>
      <c r="CA38" s="41"/>
      <c r="CB38" s="42"/>
      <c r="CC38" s="42"/>
      <c r="CD38" s="42"/>
      <c r="CE38" s="47"/>
      <c r="CF38" s="41"/>
      <c r="CG38" s="42"/>
      <c r="CH38" s="42"/>
      <c r="CI38" s="42"/>
      <c r="CJ38" s="47"/>
    </row>
    <row r="39" spans="2:88" x14ac:dyDescent="0.25">
      <c r="B39" t="s">
        <v>53</v>
      </c>
      <c r="C39" s="17">
        <v>3124291000</v>
      </c>
      <c r="D39" t="s">
        <v>155</v>
      </c>
      <c r="E39" t="str">
        <f t="shared" si="3"/>
        <v>$2 Billion - $10 Billion</v>
      </c>
      <c r="F39">
        <f>IF(C39="", "", COUNTIF($C$6:C39,"&gt;0"))</f>
        <v>34</v>
      </c>
      <c r="G39" t="str">
        <f>IF(E39&lt;&gt;'[1]By Asset Category'!$B$1,"",COUNTIF($E$6:E39,'[1]By Asset Category'!$B$1))</f>
        <v/>
      </c>
      <c r="H39" t="s">
        <v>156</v>
      </c>
      <c r="I39" t="s">
        <v>91</v>
      </c>
      <c r="J39" t="s">
        <v>157</v>
      </c>
      <c r="K39" t="s">
        <v>158</v>
      </c>
      <c r="L39" s="33" t="s">
        <v>3</v>
      </c>
      <c r="M39" s="34">
        <f>100+270</f>
        <v>370</v>
      </c>
      <c r="N39" s="19">
        <v>1300</v>
      </c>
      <c r="O39" s="19">
        <v>1000</v>
      </c>
      <c r="P39" s="19"/>
      <c r="Q39" s="19">
        <f t="shared" si="23"/>
        <v>2670</v>
      </c>
      <c r="R39" s="34">
        <v>390</v>
      </c>
      <c r="S39" s="19">
        <v>1250</v>
      </c>
      <c r="T39" s="19">
        <v>1000</v>
      </c>
      <c r="U39" s="19"/>
      <c r="V39" s="19">
        <f t="shared" si="24"/>
        <v>2640</v>
      </c>
      <c r="W39" s="26">
        <v>200</v>
      </c>
      <c r="X39" s="21">
        <v>1600</v>
      </c>
      <c r="Y39" s="21">
        <v>1000</v>
      </c>
      <c r="Z39" s="21"/>
      <c r="AA39" s="22">
        <f t="shared" si="25"/>
        <v>2800</v>
      </c>
      <c r="AB39" s="23">
        <v>170</v>
      </c>
      <c r="AC39" s="21">
        <v>1200</v>
      </c>
      <c r="AD39" s="21">
        <v>1000</v>
      </c>
      <c r="AE39" s="21"/>
      <c r="AF39" s="35">
        <f t="shared" si="26"/>
        <v>2370</v>
      </c>
      <c r="AG39" s="23"/>
      <c r="AH39" s="21">
        <v>1200</v>
      </c>
      <c r="AI39" s="21">
        <v>1000</v>
      </c>
      <c r="AJ39" s="21"/>
      <c r="AK39" s="22">
        <f t="shared" si="27"/>
        <v>2200</v>
      </c>
      <c r="AL39" s="23"/>
      <c r="AM39" s="21">
        <v>1800</v>
      </c>
      <c r="AN39" s="21">
        <v>1000</v>
      </c>
      <c r="AO39" s="21"/>
      <c r="AP39" s="22">
        <f t="shared" si="28"/>
        <v>2800</v>
      </c>
      <c r="AQ39" s="23">
        <v>190</v>
      </c>
      <c r="AR39" s="21">
        <v>1450</v>
      </c>
      <c r="AS39" s="21">
        <v>1000</v>
      </c>
      <c r="AT39" s="21"/>
      <c r="AU39" s="25">
        <f t="shared" si="29"/>
        <v>2640</v>
      </c>
      <c r="AV39" s="23"/>
      <c r="AW39" s="21">
        <v>1100</v>
      </c>
      <c r="AX39" s="21">
        <v>1250</v>
      </c>
      <c r="AY39" s="21"/>
      <c r="AZ39" s="25">
        <f t="shared" si="21"/>
        <v>2350</v>
      </c>
      <c r="BA39" s="23"/>
      <c r="BB39" s="21">
        <v>1600</v>
      </c>
      <c r="BC39" s="21">
        <v>1250</v>
      </c>
      <c r="BD39" s="21"/>
      <c r="BE39" s="25">
        <f t="shared" si="22"/>
        <v>2850</v>
      </c>
      <c r="BF39" s="23"/>
      <c r="BG39" s="21">
        <v>1350</v>
      </c>
      <c r="BH39" s="21">
        <v>1250</v>
      </c>
      <c r="BI39" s="21"/>
      <c r="BJ39" s="25">
        <f t="shared" si="30"/>
        <v>2600</v>
      </c>
      <c r="BK39" s="23"/>
      <c r="BL39" s="21">
        <v>1225</v>
      </c>
      <c r="BM39" s="21"/>
      <c r="BN39" s="21"/>
      <c r="BO39" s="25">
        <f t="shared" si="31"/>
        <v>1225</v>
      </c>
      <c r="BP39" s="23"/>
      <c r="BQ39" s="21">
        <f>750+650</f>
        <v>1400</v>
      </c>
      <c r="BR39" s="21">
        <v>7500</v>
      </c>
      <c r="BS39" s="21"/>
      <c r="BT39" s="25">
        <f t="shared" si="4"/>
        <v>8900</v>
      </c>
      <c r="BU39" s="21">
        <v>750</v>
      </c>
      <c r="BV39" s="26"/>
      <c r="BW39" s="21">
        <v>1300</v>
      </c>
      <c r="BX39" s="21">
        <v>7500</v>
      </c>
      <c r="BY39" s="21"/>
      <c r="BZ39" s="27">
        <f t="shared" si="0"/>
        <v>8800</v>
      </c>
      <c r="CA39" s="26">
        <v>150</v>
      </c>
      <c r="CB39" s="21">
        <v>750</v>
      </c>
      <c r="CC39" s="21">
        <v>7500</v>
      </c>
      <c r="CD39" s="21"/>
      <c r="CE39" s="27">
        <f t="shared" si="1"/>
        <v>8400</v>
      </c>
      <c r="CF39" s="26">
        <v>150</v>
      </c>
      <c r="CG39" s="21">
        <v>750</v>
      </c>
      <c r="CH39" s="21">
        <v>7500</v>
      </c>
      <c r="CI39" s="21"/>
      <c r="CJ39" s="27">
        <f t="shared" ref="CJ39:CJ48" si="32">SUM(CF39:CI39)</f>
        <v>8400</v>
      </c>
    </row>
    <row r="40" spans="2:88" x14ac:dyDescent="0.25">
      <c r="B40" t="s">
        <v>35</v>
      </c>
      <c r="C40" s="17">
        <v>931448000</v>
      </c>
      <c r="D40" t="s">
        <v>159</v>
      </c>
      <c r="E40" t="str">
        <f t="shared" si="3"/>
        <v>$800 Million - $2 Billion</v>
      </c>
      <c r="F40">
        <f>IF(C40="", "", COUNTIF($C$6:C40,"&gt;0"))</f>
        <v>35</v>
      </c>
      <c r="G40">
        <f>IF(E40&lt;&gt;'[1]By Asset Category'!$B$1,"",COUNTIF($E$6:E40,'[1]By Asset Category'!$B$1))</f>
        <v>10</v>
      </c>
      <c r="H40" t="s">
        <v>160</v>
      </c>
      <c r="I40" t="s">
        <v>38</v>
      </c>
      <c r="J40" t="s">
        <v>161</v>
      </c>
      <c r="K40" t="s">
        <v>162</v>
      </c>
      <c r="L40" s="33" t="s">
        <v>46</v>
      </c>
      <c r="M40" s="34">
        <v>1970</v>
      </c>
      <c r="N40" s="19">
        <v>0</v>
      </c>
      <c r="O40" s="19">
        <f>750</f>
        <v>750</v>
      </c>
      <c r="P40" s="19"/>
      <c r="Q40" s="19">
        <f t="shared" si="23"/>
        <v>2720</v>
      </c>
      <c r="R40" s="34">
        <v>2085</v>
      </c>
      <c r="S40" s="19">
        <v>0</v>
      </c>
      <c r="T40" s="19">
        <v>500</v>
      </c>
      <c r="U40" s="19"/>
      <c r="V40" s="19">
        <f t="shared" si="24"/>
        <v>2585</v>
      </c>
      <c r="W40" s="26">
        <v>2672</v>
      </c>
      <c r="X40" s="21">
        <v>500</v>
      </c>
      <c r="Y40" s="21">
        <v>500</v>
      </c>
      <c r="Z40" s="21"/>
      <c r="AA40" s="22">
        <f t="shared" si="25"/>
        <v>3672</v>
      </c>
      <c r="AB40" s="23">
        <v>2553.3999999999996</v>
      </c>
      <c r="AC40" s="21">
        <v>1200</v>
      </c>
      <c r="AD40" s="21">
        <v>500</v>
      </c>
      <c r="AE40" s="21"/>
      <c r="AF40" s="35">
        <f t="shared" si="26"/>
        <v>4253.3999999999996</v>
      </c>
      <c r="AG40" s="23">
        <v>2665</v>
      </c>
      <c r="AH40" s="21">
        <v>1400</v>
      </c>
      <c r="AI40" s="21"/>
      <c r="AJ40" s="21"/>
      <c r="AK40" s="25">
        <f t="shared" si="27"/>
        <v>4065</v>
      </c>
      <c r="AL40" s="23">
        <v>2999.9199999999996</v>
      </c>
      <c r="AM40" s="21">
        <v>1250</v>
      </c>
      <c r="AN40" s="21"/>
      <c r="AO40" s="21"/>
      <c r="AP40" s="25">
        <f t="shared" si="28"/>
        <v>4249.92</v>
      </c>
      <c r="AQ40" s="23">
        <v>2278</v>
      </c>
      <c r="AR40" s="21">
        <v>1150</v>
      </c>
      <c r="AS40" s="21"/>
      <c r="AT40" s="21"/>
      <c r="AU40" s="25">
        <f t="shared" si="29"/>
        <v>3428</v>
      </c>
      <c r="AV40" s="23">
        <v>2991</v>
      </c>
      <c r="AW40" s="21">
        <v>1600</v>
      </c>
      <c r="AX40" s="21"/>
      <c r="AY40" s="21"/>
      <c r="AZ40" s="25">
        <f t="shared" si="21"/>
        <v>4591</v>
      </c>
      <c r="BA40" s="23">
        <v>2480.1</v>
      </c>
      <c r="BB40" s="21">
        <v>1975</v>
      </c>
      <c r="BC40" s="21"/>
      <c r="BD40" s="21"/>
      <c r="BE40" s="25">
        <f t="shared" si="22"/>
        <v>4455.1000000000004</v>
      </c>
      <c r="BF40" s="23">
        <v>2497</v>
      </c>
      <c r="BG40" s="21">
        <v>900</v>
      </c>
      <c r="BH40" s="21"/>
      <c r="BI40" s="21"/>
      <c r="BJ40" s="25">
        <f>SUM(BF40:BH40)</f>
        <v>3397</v>
      </c>
      <c r="BK40" s="23">
        <v>1450</v>
      </c>
      <c r="BL40" s="21">
        <v>1200</v>
      </c>
      <c r="BM40" s="21"/>
      <c r="BN40" s="21"/>
      <c r="BO40" s="25">
        <f>SUM(BK40:BM40)</f>
        <v>2650</v>
      </c>
      <c r="BP40" s="23">
        <v>3935.72</v>
      </c>
      <c r="BQ40" s="21">
        <v>1800</v>
      </c>
      <c r="BR40" s="21"/>
      <c r="BS40" s="21"/>
      <c r="BT40" s="25">
        <f t="shared" si="4"/>
        <v>5735.7199999999993</v>
      </c>
      <c r="BU40" s="21"/>
      <c r="BV40" s="26">
        <v>3203.91</v>
      </c>
      <c r="BW40" s="21">
        <v>2950</v>
      </c>
      <c r="BX40" s="21"/>
      <c r="BY40" s="21"/>
      <c r="BZ40" s="27">
        <f t="shared" si="0"/>
        <v>6153.91</v>
      </c>
      <c r="CA40" s="26">
        <v>4747.32</v>
      </c>
      <c r="CB40" s="21">
        <v>2700</v>
      </c>
      <c r="CC40" s="21">
        <v>0</v>
      </c>
      <c r="CD40" s="21"/>
      <c r="CE40" s="27">
        <f t="shared" si="1"/>
        <v>7447.32</v>
      </c>
      <c r="CF40" s="26">
        <v>4747.32</v>
      </c>
      <c r="CG40" s="21">
        <v>2700</v>
      </c>
      <c r="CH40" s="21">
        <v>0</v>
      </c>
      <c r="CI40" s="21"/>
      <c r="CJ40" s="27">
        <f t="shared" si="32"/>
        <v>7447.32</v>
      </c>
    </row>
    <row r="41" spans="2:88" x14ac:dyDescent="0.25">
      <c r="B41" t="s">
        <v>53</v>
      </c>
      <c r="C41" s="17">
        <v>319400000</v>
      </c>
      <c r="D41" t="s">
        <v>163</v>
      </c>
      <c r="E41" t="str">
        <f t="shared" si="3"/>
        <v>Less than $350 Million</v>
      </c>
      <c r="F41">
        <f>IF(C41="", "", COUNTIF($C$6:C41,"&gt;0"))</f>
        <v>36</v>
      </c>
      <c r="G41" t="str">
        <f>IF(E41&lt;&gt;'[1]By Asset Category'!$B$1,"",COUNTIF($E$6:E41,'[1]By Asset Category'!$B$1))</f>
        <v/>
      </c>
      <c r="H41" t="s">
        <v>164</v>
      </c>
      <c r="I41" t="s">
        <v>38</v>
      </c>
      <c r="J41" t="s">
        <v>165</v>
      </c>
      <c r="K41" t="s">
        <v>166</v>
      </c>
      <c r="L41" s="33"/>
      <c r="M41" s="34">
        <v>0</v>
      </c>
      <c r="N41" s="19">
        <v>0</v>
      </c>
      <c r="O41" s="19">
        <v>0</v>
      </c>
      <c r="P41" s="19">
        <v>0</v>
      </c>
      <c r="Q41" s="19">
        <f t="shared" si="23"/>
        <v>0</v>
      </c>
      <c r="R41" s="34">
        <v>0</v>
      </c>
      <c r="S41" s="19">
        <v>0</v>
      </c>
      <c r="T41" s="19">
        <v>0</v>
      </c>
      <c r="U41" s="19">
        <v>0</v>
      </c>
      <c r="V41" s="19">
        <f t="shared" si="24"/>
        <v>0</v>
      </c>
      <c r="W41" s="26">
        <v>0</v>
      </c>
      <c r="X41" s="21">
        <v>0</v>
      </c>
      <c r="Y41" s="21">
        <v>250</v>
      </c>
      <c r="Z41" s="21"/>
      <c r="AA41" s="22">
        <f t="shared" si="25"/>
        <v>250</v>
      </c>
      <c r="AB41" s="23">
        <v>250</v>
      </c>
      <c r="AC41" s="21"/>
      <c r="AD41" s="21">
        <v>500</v>
      </c>
      <c r="AE41" s="21"/>
      <c r="AF41" s="35">
        <f t="shared" si="26"/>
        <v>750</v>
      </c>
      <c r="AG41" s="23"/>
      <c r="AH41" s="21"/>
      <c r="AI41" s="21">
        <v>750</v>
      </c>
      <c r="AJ41" s="21"/>
      <c r="AK41" s="22">
        <f t="shared" si="27"/>
        <v>750</v>
      </c>
      <c r="AL41" s="23">
        <v>250</v>
      </c>
      <c r="AM41" s="21"/>
      <c r="AN41" s="21">
        <v>500</v>
      </c>
      <c r="AO41" s="21"/>
      <c r="AP41" s="22">
        <f t="shared" si="28"/>
        <v>750</v>
      </c>
      <c r="AQ41" s="23">
        <v>500</v>
      </c>
      <c r="AR41" s="21"/>
      <c r="AS41" s="21">
        <v>500</v>
      </c>
      <c r="AT41" s="21"/>
      <c r="AU41" s="25">
        <f t="shared" si="29"/>
        <v>1000</v>
      </c>
      <c r="AV41" s="23"/>
      <c r="AW41" s="21"/>
      <c r="AX41" s="21">
        <v>1000</v>
      </c>
      <c r="AY41" s="21"/>
      <c r="AZ41" s="25">
        <f t="shared" si="21"/>
        <v>1000</v>
      </c>
      <c r="BA41" s="23"/>
      <c r="BB41" s="21"/>
      <c r="BC41" s="21">
        <v>1000</v>
      </c>
      <c r="BD41" s="21"/>
      <c r="BE41" s="25">
        <f t="shared" si="22"/>
        <v>1000</v>
      </c>
      <c r="BF41" s="23"/>
      <c r="BG41" s="21"/>
      <c r="BH41" s="21"/>
      <c r="BI41" s="21"/>
      <c r="BJ41" s="25">
        <f>SUM(BF41:BI41)</f>
        <v>0</v>
      </c>
      <c r="BK41" s="23"/>
      <c r="BL41" s="21"/>
      <c r="BM41" s="21"/>
      <c r="BN41" s="21"/>
      <c r="BO41" s="25">
        <f>SUM(BK41:BN41)</f>
        <v>0</v>
      </c>
      <c r="BP41" s="23"/>
      <c r="BQ41" s="21"/>
      <c r="BR41" s="21"/>
      <c r="BS41" s="21"/>
      <c r="BT41" s="25">
        <f t="shared" si="4"/>
        <v>0</v>
      </c>
      <c r="BU41" s="21"/>
      <c r="BV41" s="26"/>
      <c r="BW41" s="21"/>
      <c r="BX41" s="21"/>
      <c r="BY41" s="21"/>
      <c r="BZ41" s="27">
        <f t="shared" si="0"/>
        <v>0</v>
      </c>
      <c r="CA41" s="26"/>
      <c r="CB41" s="21"/>
      <c r="CC41" s="21"/>
      <c r="CD41" s="21"/>
      <c r="CE41" s="27">
        <f t="shared" si="1"/>
        <v>0</v>
      </c>
      <c r="CF41" s="26"/>
      <c r="CG41" s="21"/>
      <c r="CH41" s="21"/>
      <c r="CI41" s="21"/>
      <c r="CJ41" s="27">
        <f t="shared" si="32"/>
        <v>0</v>
      </c>
    </row>
    <row r="42" spans="2:88" x14ac:dyDescent="0.25">
      <c r="B42" t="s">
        <v>53</v>
      </c>
      <c r="C42" s="17">
        <v>946806000</v>
      </c>
      <c r="D42" t="s">
        <v>167</v>
      </c>
      <c r="E42" t="str">
        <f t="shared" si="3"/>
        <v>$800 Million - $2 Billion</v>
      </c>
      <c r="F42">
        <f>IF(C42="", "", COUNTIF($C$6:C42,"&gt;0"))</f>
        <v>37</v>
      </c>
      <c r="G42">
        <f>IF(E42&lt;&gt;'[1]By Asset Category'!$B$1,"",COUNTIF($E$6:E42,'[1]By Asset Category'!$B$1))</f>
        <v>11</v>
      </c>
      <c r="H42" t="s">
        <v>168</v>
      </c>
      <c r="I42" t="s">
        <v>3</v>
      </c>
      <c r="J42" t="s">
        <v>3</v>
      </c>
      <c r="K42" t="s">
        <v>3</v>
      </c>
      <c r="L42" s="33"/>
      <c r="M42" s="34">
        <v>0</v>
      </c>
      <c r="N42" s="19">
        <v>0</v>
      </c>
      <c r="O42" s="19">
        <v>0</v>
      </c>
      <c r="P42" s="19">
        <v>0</v>
      </c>
      <c r="Q42" s="19">
        <f t="shared" si="23"/>
        <v>0</v>
      </c>
      <c r="R42" s="34">
        <v>0</v>
      </c>
      <c r="S42" s="19">
        <v>0</v>
      </c>
      <c r="T42" s="19">
        <v>0</v>
      </c>
      <c r="U42" s="19">
        <v>0</v>
      </c>
      <c r="V42" s="19">
        <f t="shared" si="24"/>
        <v>0</v>
      </c>
      <c r="W42" s="26">
        <v>0</v>
      </c>
      <c r="X42" s="21">
        <v>0</v>
      </c>
      <c r="Y42" s="21">
        <v>0</v>
      </c>
      <c r="Z42" s="21"/>
      <c r="AA42" s="22">
        <f t="shared" si="25"/>
        <v>0</v>
      </c>
      <c r="AB42" s="23"/>
      <c r="AC42" s="21"/>
      <c r="AD42" s="21"/>
      <c r="AE42" s="21"/>
      <c r="AF42" s="35">
        <f t="shared" si="26"/>
        <v>0</v>
      </c>
      <c r="AG42" s="23"/>
      <c r="AH42" s="21"/>
      <c r="AI42" s="21"/>
      <c r="AJ42" s="21"/>
      <c r="AK42" s="22">
        <f t="shared" si="27"/>
        <v>0</v>
      </c>
      <c r="AL42" s="23"/>
      <c r="AM42" s="21"/>
      <c r="AN42" s="21"/>
      <c r="AO42" s="21"/>
      <c r="AP42" s="22">
        <f t="shared" si="28"/>
        <v>0</v>
      </c>
      <c r="AQ42" s="23"/>
      <c r="AR42" s="21"/>
      <c r="AS42" s="21"/>
      <c r="AT42" s="21"/>
      <c r="AU42" s="25">
        <f t="shared" si="29"/>
        <v>0</v>
      </c>
      <c r="AV42" s="23"/>
      <c r="AW42" s="21"/>
      <c r="AX42" s="21"/>
      <c r="AY42" s="21"/>
      <c r="AZ42" s="25">
        <f t="shared" si="21"/>
        <v>0</v>
      </c>
      <c r="BA42" s="23"/>
      <c r="BB42" s="21"/>
      <c r="BC42" s="21"/>
      <c r="BD42" s="21"/>
      <c r="BE42" s="25">
        <f t="shared" si="22"/>
        <v>0</v>
      </c>
      <c r="BF42" s="23"/>
      <c r="BG42" s="21"/>
      <c r="BH42" s="21"/>
      <c r="BI42" s="21"/>
      <c r="BJ42" s="25">
        <f>SUM(BF42:BI42)</f>
        <v>0</v>
      </c>
      <c r="BK42" s="23"/>
      <c r="BL42" s="21"/>
      <c r="BM42" s="21"/>
      <c r="BN42" s="21"/>
      <c r="BO42" s="25">
        <f>SUM(BK42:BN42)</f>
        <v>0</v>
      </c>
      <c r="BP42" s="23"/>
      <c r="BQ42" s="21"/>
      <c r="BR42" s="21"/>
      <c r="BS42" s="21"/>
      <c r="BT42" s="25">
        <f t="shared" si="4"/>
        <v>0</v>
      </c>
      <c r="BU42" s="21"/>
      <c r="BV42" s="26"/>
      <c r="BW42" s="21"/>
      <c r="BX42" s="21"/>
      <c r="BY42" s="21"/>
      <c r="BZ42" s="27">
        <f t="shared" si="0"/>
        <v>0</v>
      </c>
      <c r="CA42" s="26"/>
      <c r="CB42" s="21"/>
      <c r="CC42" s="21"/>
      <c r="CD42" s="21"/>
      <c r="CE42" s="27">
        <f t="shared" si="1"/>
        <v>0</v>
      </c>
      <c r="CF42" s="26"/>
      <c r="CG42" s="21"/>
      <c r="CH42" s="21"/>
      <c r="CI42" s="21"/>
      <c r="CJ42" s="27">
        <f t="shared" si="32"/>
        <v>0</v>
      </c>
    </row>
    <row r="43" spans="2:88" x14ac:dyDescent="0.25">
      <c r="B43" t="s">
        <v>58</v>
      </c>
      <c r="C43" s="17">
        <v>837070000</v>
      </c>
      <c r="D43" t="s">
        <v>169</v>
      </c>
      <c r="E43" t="str">
        <f t="shared" si="3"/>
        <v>$800 Million - $2 Billion</v>
      </c>
      <c r="F43">
        <f>IF(C43="", "", COUNTIF($C$6:C43,"&gt;0"))</f>
        <v>38</v>
      </c>
      <c r="G43">
        <f>IF(E43&lt;&gt;'[1]By Asset Category'!$B$1,"",COUNTIF($E$6:E43,'[1]By Asset Category'!$B$1))</f>
        <v>12</v>
      </c>
      <c r="H43" t="s">
        <v>170</v>
      </c>
      <c r="I43" t="s">
        <v>3</v>
      </c>
      <c r="J43" t="s">
        <v>3</v>
      </c>
      <c r="K43" t="s">
        <v>3</v>
      </c>
      <c r="L43" s="33" t="s">
        <v>3</v>
      </c>
      <c r="M43" s="34">
        <v>800</v>
      </c>
      <c r="N43" s="19">
        <v>600</v>
      </c>
      <c r="O43" s="19">
        <v>250</v>
      </c>
      <c r="P43" s="19"/>
      <c r="Q43" s="19">
        <f t="shared" si="23"/>
        <v>1650</v>
      </c>
      <c r="R43" s="34">
        <v>550</v>
      </c>
      <c r="S43" s="19">
        <v>350</v>
      </c>
      <c r="T43" s="19">
        <v>0</v>
      </c>
      <c r="U43" s="19"/>
      <c r="V43" s="19">
        <f t="shared" si="24"/>
        <v>900</v>
      </c>
      <c r="W43" s="26">
        <v>925</v>
      </c>
      <c r="X43" s="21">
        <v>100</v>
      </c>
      <c r="Y43" s="21">
        <v>0</v>
      </c>
      <c r="Z43" s="21"/>
      <c r="AA43" s="22">
        <f t="shared" si="25"/>
        <v>1025</v>
      </c>
      <c r="AB43" s="23">
        <v>500</v>
      </c>
      <c r="AC43" s="21">
        <v>800</v>
      </c>
      <c r="AD43" s="21"/>
      <c r="AE43" s="21"/>
      <c r="AF43" s="35">
        <f t="shared" si="26"/>
        <v>1300</v>
      </c>
      <c r="AG43" s="23">
        <v>1150</v>
      </c>
      <c r="AH43" s="21">
        <v>750</v>
      </c>
      <c r="AI43" s="21"/>
      <c r="AJ43" s="21"/>
      <c r="AK43" s="22">
        <f t="shared" si="27"/>
        <v>1900</v>
      </c>
      <c r="AL43" s="23">
        <v>1195</v>
      </c>
      <c r="AM43" s="21">
        <v>1600</v>
      </c>
      <c r="AN43" s="21"/>
      <c r="AO43" s="21"/>
      <c r="AP43" s="22">
        <f t="shared" si="28"/>
        <v>2795</v>
      </c>
      <c r="AQ43" s="23">
        <v>1185</v>
      </c>
      <c r="AR43" s="21">
        <v>1115</v>
      </c>
      <c r="AS43" s="21"/>
      <c r="AT43" s="21"/>
      <c r="AU43" s="25">
        <f t="shared" si="29"/>
        <v>2300</v>
      </c>
      <c r="AV43" s="23">
        <v>2451</v>
      </c>
      <c r="AW43" s="21">
        <v>1850</v>
      </c>
      <c r="AX43" s="21">
        <v>1000</v>
      </c>
      <c r="AY43" s="21"/>
      <c r="AZ43" s="25">
        <f t="shared" si="21"/>
        <v>5301</v>
      </c>
      <c r="BA43" s="23">
        <v>3525</v>
      </c>
      <c r="BB43" s="21">
        <v>1400</v>
      </c>
      <c r="BC43" s="21">
        <v>1500</v>
      </c>
      <c r="BD43" s="21"/>
      <c r="BE43" s="25">
        <f t="shared" si="22"/>
        <v>6425</v>
      </c>
      <c r="BF43" s="23">
        <v>2200</v>
      </c>
      <c r="BG43" s="21">
        <v>1750</v>
      </c>
      <c r="BH43" s="21">
        <v>3000</v>
      </c>
      <c r="BI43" s="21"/>
      <c r="BJ43" s="25">
        <f>SUM(BF43:BI43)</f>
        <v>6950</v>
      </c>
      <c r="BK43" s="23">
        <v>800</v>
      </c>
      <c r="BL43" s="21">
        <v>1883.55</v>
      </c>
      <c r="BM43" s="21"/>
      <c r="BN43" s="21"/>
      <c r="BO43" s="25">
        <f>SUM(BK43:BN43)</f>
        <v>2683.55</v>
      </c>
      <c r="BP43" s="23"/>
      <c r="BQ43" s="21"/>
      <c r="BR43" s="21"/>
      <c r="BS43" s="21"/>
      <c r="BT43" s="25">
        <f t="shared" si="4"/>
        <v>0</v>
      </c>
      <c r="BU43" s="21"/>
      <c r="BV43" s="26">
        <v>2725</v>
      </c>
      <c r="BW43" s="21">
        <v>4500</v>
      </c>
      <c r="BX43" s="21">
        <v>2500</v>
      </c>
      <c r="BY43" s="21"/>
      <c r="BZ43" s="27">
        <f t="shared" si="0"/>
        <v>9725</v>
      </c>
      <c r="CA43" s="26">
        <v>1851</v>
      </c>
      <c r="CB43" s="21">
        <v>3500</v>
      </c>
      <c r="CC43" s="21">
        <v>2500</v>
      </c>
      <c r="CD43" s="21"/>
      <c r="CE43" s="27">
        <f t="shared" si="1"/>
        <v>7851</v>
      </c>
      <c r="CF43" s="26">
        <v>1851</v>
      </c>
      <c r="CG43" s="21">
        <v>3500</v>
      </c>
      <c r="CH43" s="21">
        <v>2500</v>
      </c>
      <c r="CI43" s="21"/>
      <c r="CJ43" s="27">
        <f t="shared" si="32"/>
        <v>7851</v>
      </c>
    </row>
    <row r="44" spans="2:88" x14ac:dyDescent="0.25">
      <c r="B44" t="s">
        <v>35</v>
      </c>
      <c r="C44" s="17">
        <v>142523000</v>
      </c>
      <c r="D44" t="s">
        <v>171</v>
      </c>
      <c r="E44" t="str">
        <f t="shared" si="3"/>
        <v>Less than $350 Million</v>
      </c>
      <c r="F44">
        <f>IF(C44="", "", COUNTIF($C$6:C44,"&gt;0"))</f>
        <v>39</v>
      </c>
      <c r="G44" t="str">
        <f>IF(E44&lt;&gt;'[1]By Asset Category'!$B$1,"",COUNTIF($E$6:E44,'[1]By Asset Category'!$B$1))</f>
        <v/>
      </c>
      <c r="H44" t="s">
        <v>172</v>
      </c>
      <c r="I44" t="s">
        <v>38</v>
      </c>
      <c r="J44" t="s">
        <v>173</v>
      </c>
      <c r="K44" t="s">
        <v>174</v>
      </c>
      <c r="L44" s="33" t="s">
        <v>3</v>
      </c>
      <c r="M44" s="19">
        <v>150</v>
      </c>
      <c r="N44" s="19">
        <v>0</v>
      </c>
      <c r="O44" s="19">
        <v>250</v>
      </c>
      <c r="P44" s="19"/>
      <c r="Q44" s="19">
        <f t="shared" si="23"/>
        <v>400</v>
      </c>
      <c r="R44" s="19">
        <v>0</v>
      </c>
      <c r="S44" s="19">
        <v>0</v>
      </c>
      <c r="T44" s="19">
        <v>0</v>
      </c>
      <c r="U44" s="19"/>
      <c r="V44" s="19">
        <f t="shared" si="24"/>
        <v>0</v>
      </c>
      <c r="W44" s="21">
        <v>200</v>
      </c>
      <c r="X44" s="21">
        <v>200</v>
      </c>
      <c r="Y44" s="21">
        <v>250</v>
      </c>
      <c r="Z44" s="21"/>
      <c r="AA44" s="22">
        <f t="shared" si="25"/>
        <v>650</v>
      </c>
      <c r="AB44" s="23">
        <v>125</v>
      </c>
      <c r="AC44" s="21">
        <v>150</v>
      </c>
      <c r="AD44" s="21">
        <v>250</v>
      </c>
      <c r="AE44" s="21"/>
      <c r="AF44" s="24">
        <f t="shared" si="26"/>
        <v>525</v>
      </c>
      <c r="AG44" s="23">
        <v>335</v>
      </c>
      <c r="AH44" s="21">
        <v>150</v>
      </c>
      <c r="AI44" s="21">
        <v>250</v>
      </c>
      <c r="AJ44" s="21"/>
      <c r="AK44" s="25">
        <f t="shared" si="27"/>
        <v>735</v>
      </c>
      <c r="AL44" s="23">
        <v>100</v>
      </c>
      <c r="AM44" s="21">
        <v>50</v>
      </c>
      <c r="AN44" s="21">
        <v>250</v>
      </c>
      <c r="AO44" s="21"/>
      <c r="AP44" s="25">
        <f t="shared" si="28"/>
        <v>400</v>
      </c>
      <c r="AQ44" s="23">
        <v>100</v>
      </c>
      <c r="AR44" s="21">
        <v>100</v>
      </c>
      <c r="AS44" s="21">
        <v>250</v>
      </c>
      <c r="AT44" s="21"/>
      <c r="AU44" s="25">
        <f t="shared" si="29"/>
        <v>450</v>
      </c>
      <c r="AV44" s="23"/>
      <c r="AW44" s="21"/>
      <c r="AX44" s="21">
        <v>250</v>
      </c>
      <c r="AY44" s="21"/>
      <c r="AZ44" s="25">
        <f t="shared" si="21"/>
        <v>250</v>
      </c>
      <c r="BA44" s="23"/>
      <c r="BB44" s="21"/>
      <c r="BC44" s="21">
        <v>250</v>
      </c>
      <c r="BD44" s="21"/>
      <c r="BE44" s="25">
        <f t="shared" si="22"/>
        <v>250</v>
      </c>
      <c r="BF44" s="23"/>
      <c r="BG44" s="21">
        <v>100</v>
      </c>
      <c r="BH44" s="21">
        <v>250</v>
      </c>
      <c r="BI44" s="21"/>
      <c r="BJ44" s="25">
        <f>SUM(BF44:BH44)</f>
        <v>350</v>
      </c>
      <c r="BK44" s="23"/>
      <c r="BL44" s="21"/>
      <c r="BM44" s="21"/>
      <c r="BN44" s="21"/>
      <c r="BO44" s="25">
        <f>SUM(BK44:BM44)</f>
        <v>0</v>
      </c>
      <c r="BP44" s="23">
        <v>100</v>
      </c>
      <c r="BQ44" s="21"/>
      <c r="BR44" s="21">
        <v>100</v>
      </c>
      <c r="BS44" s="21"/>
      <c r="BT44" s="25">
        <f t="shared" si="4"/>
        <v>200</v>
      </c>
      <c r="BU44" s="21"/>
      <c r="BV44" s="26"/>
      <c r="BW44" s="21"/>
      <c r="BX44" s="21">
        <v>250</v>
      </c>
      <c r="BY44" s="21"/>
      <c r="BZ44" s="27">
        <f t="shared" si="0"/>
        <v>250</v>
      </c>
      <c r="CA44" s="26"/>
      <c r="CB44" s="21"/>
      <c r="CC44" s="21"/>
      <c r="CD44" s="21"/>
      <c r="CE44" s="27">
        <f t="shared" si="1"/>
        <v>0</v>
      </c>
      <c r="CF44" s="26"/>
      <c r="CG44" s="21"/>
      <c r="CH44" s="21"/>
      <c r="CI44" s="21"/>
      <c r="CJ44" s="27">
        <f t="shared" si="32"/>
        <v>0</v>
      </c>
    </row>
    <row r="45" spans="2:88" x14ac:dyDescent="0.25">
      <c r="B45" t="s">
        <v>47</v>
      </c>
      <c r="C45" s="17">
        <v>25922789000</v>
      </c>
      <c r="D45" t="s">
        <v>175</v>
      </c>
      <c r="E45" t="str">
        <f t="shared" si="3"/>
        <v>Over $10 Billion</v>
      </c>
      <c r="F45">
        <f>IF(C45="", "", COUNTIF($C$6:C45,"&gt;0"))</f>
        <v>40</v>
      </c>
      <c r="G45" t="str">
        <f>IF(E45&lt;&gt;'[1]By Asset Category'!$B$1,"",COUNTIF($E$6:E45,'[1]By Asset Category'!$B$1))</f>
        <v/>
      </c>
      <c r="H45" t="s">
        <v>176</v>
      </c>
      <c r="I45" t="s">
        <v>3</v>
      </c>
      <c r="J45" t="s">
        <v>3</v>
      </c>
      <c r="K45" t="s">
        <v>3</v>
      </c>
      <c r="L45" s="33"/>
      <c r="M45" s="34">
        <v>0</v>
      </c>
      <c r="N45" s="19">
        <v>0</v>
      </c>
      <c r="O45" s="19">
        <v>0</v>
      </c>
      <c r="P45" s="19"/>
      <c r="Q45" s="19">
        <f t="shared" si="23"/>
        <v>0</v>
      </c>
      <c r="R45" s="34">
        <v>0</v>
      </c>
      <c r="S45" s="19">
        <v>0</v>
      </c>
      <c r="T45" s="19">
        <v>2500</v>
      </c>
      <c r="U45" s="19"/>
      <c r="V45" s="19">
        <f t="shared" si="24"/>
        <v>2500</v>
      </c>
      <c r="W45" s="26">
        <v>20</v>
      </c>
      <c r="X45" s="21">
        <v>0</v>
      </c>
      <c r="Y45" s="21">
        <v>2500</v>
      </c>
      <c r="Z45" s="21"/>
      <c r="AA45" s="22">
        <f t="shared" si="25"/>
        <v>2520</v>
      </c>
      <c r="AB45" s="23"/>
      <c r="AC45" s="21"/>
      <c r="AD45" s="21"/>
      <c r="AE45" s="21">
        <v>2500</v>
      </c>
      <c r="AF45" s="35">
        <f t="shared" si="26"/>
        <v>2500</v>
      </c>
      <c r="AG45" s="23">
        <v>770</v>
      </c>
      <c r="AH45" s="21"/>
      <c r="AI45" s="21"/>
      <c r="AJ45" s="21">
        <v>2500</v>
      </c>
      <c r="AK45" s="22">
        <f t="shared" si="27"/>
        <v>3270</v>
      </c>
      <c r="AL45" s="23">
        <v>900</v>
      </c>
      <c r="AM45" s="21"/>
      <c r="AN45" s="21"/>
      <c r="AO45" s="21">
        <v>2500</v>
      </c>
      <c r="AP45" s="22">
        <f t="shared" si="28"/>
        <v>3400</v>
      </c>
      <c r="AQ45" s="23"/>
      <c r="AR45" s="21"/>
      <c r="AS45" s="21"/>
      <c r="AT45" s="21">
        <v>3500</v>
      </c>
      <c r="AU45" s="25">
        <f t="shared" si="29"/>
        <v>3500</v>
      </c>
      <c r="AV45" s="23"/>
      <c r="AW45" s="21"/>
      <c r="AX45" s="21"/>
      <c r="AY45" s="21">
        <v>3500</v>
      </c>
      <c r="AZ45" s="25">
        <f t="shared" si="21"/>
        <v>3500</v>
      </c>
      <c r="BA45" s="23"/>
      <c r="BB45" s="21"/>
      <c r="BC45" s="21"/>
      <c r="BD45" s="21">
        <v>5000</v>
      </c>
      <c r="BE45" s="25">
        <f t="shared" si="22"/>
        <v>5000</v>
      </c>
      <c r="BF45" s="23"/>
      <c r="BG45" s="21"/>
      <c r="BH45" s="21"/>
      <c r="BI45" s="21">
        <v>5000</v>
      </c>
      <c r="BJ45" s="25"/>
      <c r="BK45" s="23"/>
      <c r="BL45" s="21"/>
      <c r="BM45" s="21"/>
      <c r="BN45" s="21">
        <v>5000</v>
      </c>
      <c r="BO45" s="25"/>
      <c r="BP45" s="23"/>
      <c r="BQ45" s="21"/>
      <c r="BR45" s="21"/>
      <c r="BS45" s="21">
        <v>5000</v>
      </c>
      <c r="BT45" s="25">
        <f t="shared" si="4"/>
        <v>5000</v>
      </c>
      <c r="BU45" s="21"/>
      <c r="BV45" s="26"/>
      <c r="BW45" s="21"/>
      <c r="BX45" s="21"/>
      <c r="BY45" s="21">
        <v>5000</v>
      </c>
      <c r="BZ45" s="27">
        <f t="shared" si="0"/>
        <v>5000</v>
      </c>
      <c r="CA45" s="26"/>
      <c r="CB45" s="21"/>
      <c r="CC45" s="21">
        <v>5000</v>
      </c>
      <c r="CD45" s="21"/>
      <c r="CE45" s="27">
        <f t="shared" si="1"/>
        <v>5000</v>
      </c>
      <c r="CF45" s="26"/>
      <c r="CG45" s="21"/>
      <c r="CH45" s="21">
        <v>5000</v>
      </c>
      <c r="CI45" s="21"/>
      <c r="CJ45" s="27">
        <f t="shared" si="32"/>
        <v>5000</v>
      </c>
    </row>
    <row r="46" spans="2:88" x14ac:dyDescent="0.25">
      <c r="B46" t="s">
        <v>58</v>
      </c>
      <c r="C46" s="17">
        <v>1971048000</v>
      </c>
      <c r="D46" t="s">
        <v>177</v>
      </c>
      <c r="E46" t="str">
        <f t="shared" si="3"/>
        <v>$800 Million - $2 Billion</v>
      </c>
      <c r="F46">
        <f>IF(C46="", "", COUNTIF($C$6:C46,"&gt;0"))</f>
        <v>41</v>
      </c>
      <c r="G46">
        <f>IF(E46&lt;&gt;'[1]By Asset Category'!$B$1,"",COUNTIF($E$6:E46,'[1]By Asset Category'!$B$1))</f>
        <v>13</v>
      </c>
      <c r="H46" t="s">
        <v>178</v>
      </c>
      <c r="I46" t="s">
        <v>100</v>
      </c>
      <c r="J46" t="s">
        <v>179</v>
      </c>
      <c r="K46" t="s">
        <v>180</v>
      </c>
      <c r="L46" s="33" t="s">
        <v>3</v>
      </c>
      <c r="M46" s="34">
        <v>0</v>
      </c>
      <c r="N46" s="19">
        <v>0</v>
      </c>
      <c r="O46" s="19">
        <v>0</v>
      </c>
      <c r="P46" s="19">
        <v>0</v>
      </c>
      <c r="Q46" s="19">
        <f t="shared" si="23"/>
        <v>0</v>
      </c>
      <c r="R46" s="34">
        <v>0</v>
      </c>
      <c r="S46" s="19">
        <v>0</v>
      </c>
      <c r="T46" s="19">
        <v>0</v>
      </c>
      <c r="U46" s="19">
        <v>0</v>
      </c>
      <c r="V46" s="19">
        <f t="shared" si="24"/>
        <v>0</v>
      </c>
      <c r="W46" s="26">
        <v>0</v>
      </c>
      <c r="X46" s="21">
        <v>0</v>
      </c>
      <c r="Y46" s="21">
        <v>0</v>
      </c>
      <c r="Z46" s="21"/>
      <c r="AA46" s="22">
        <f t="shared" si="25"/>
        <v>0</v>
      </c>
      <c r="AB46" s="23"/>
      <c r="AC46" s="21"/>
      <c r="AD46" s="21"/>
      <c r="AE46" s="21"/>
      <c r="AF46" s="35">
        <f t="shared" si="26"/>
        <v>0</v>
      </c>
      <c r="AG46" s="23"/>
      <c r="AH46" s="21"/>
      <c r="AI46" s="21"/>
      <c r="AJ46" s="21"/>
      <c r="AK46" s="22">
        <f t="shared" si="27"/>
        <v>0</v>
      </c>
      <c r="AL46" s="23">
        <v>200</v>
      </c>
      <c r="AM46" s="21">
        <v>200</v>
      </c>
      <c r="AN46" s="21">
        <v>600</v>
      </c>
      <c r="AO46" s="21"/>
      <c r="AP46" s="22">
        <f t="shared" si="28"/>
        <v>1000</v>
      </c>
      <c r="AQ46" s="23"/>
      <c r="AR46" s="21"/>
      <c r="AS46" s="21"/>
      <c r="AT46" s="21"/>
      <c r="AU46" s="25">
        <f t="shared" si="29"/>
        <v>0</v>
      </c>
      <c r="AV46" s="23"/>
      <c r="AW46" s="21"/>
      <c r="AX46" s="21"/>
      <c r="AY46" s="21"/>
      <c r="AZ46" s="25">
        <f t="shared" si="21"/>
        <v>0</v>
      </c>
      <c r="BA46" s="23">
        <v>190</v>
      </c>
      <c r="BB46" s="21"/>
      <c r="BC46" s="21"/>
      <c r="BD46" s="21"/>
      <c r="BE46" s="25">
        <f t="shared" si="22"/>
        <v>190</v>
      </c>
      <c r="BF46" s="23"/>
      <c r="BG46" s="21"/>
      <c r="BH46" s="21"/>
      <c r="BI46" s="21"/>
      <c r="BJ46" s="25">
        <f>SUM(BF46:BI46)</f>
        <v>0</v>
      </c>
      <c r="BK46" s="23"/>
      <c r="BL46" s="21"/>
      <c r="BM46" s="21"/>
      <c r="BN46" s="21"/>
      <c r="BO46" s="25">
        <f>SUM(BK46:BN46)</f>
        <v>0</v>
      </c>
      <c r="BP46" s="23"/>
      <c r="BQ46" s="21"/>
      <c r="BR46" s="21"/>
      <c r="BS46" s="21"/>
      <c r="BT46" s="25">
        <f t="shared" si="4"/>
        <v>0</v>
      </c>
      <c r="BU46" s="21"/>
      <c r="BV46" s="26"/>
      <c r="BW46" s="21"/>
      <c r="BX46" s="21"/>
      <c r="BY46" s="21"/>
      <c r="BZ46" s="27">
        <f t="shared" si="0"/>
        <v>0</v>
      </c>
      <c r="CA46" s="26"/>
      <c r="CB46" s="21"/>
      <c r="CC46" s="21"/>
      <c r="CD46" s="21"/>
      <c r="CE46" s="27">
        <f t="shared" si="1"/>
        <v>0</v>
      </c>
      <c r="CF46" s="26"/>
      <c r="CG46" s="21"/>
      <c r="CH46" s="21"/>
      <c r="CI46" s="21"/>
      <c r="CJ46" s="27">
        <f t="shared" si="32"/>
        <v>0</v>
      </c>
    </row>
    <row r="47" spans="2:88" x14ac:dyDescent="0.25">
      <c r="B47" t="s">
        <v>35</v>
      </c>
      <c r="C47" s="17">
        <v>181686000</v>
      </c>
      <c r="D47" t="s">
        <v>181</v>
      </c>
      <c r="E47" t="str">
        <f t="shared" si="3"/>
        <v>Less than $350 Million</v>
      </c>
      <c r="F47">
        <f>IF(C47="", "", COUNTIF($C$6:C47,"&gt;0"))</f>
        <v>42</v>
      </c>
      <c r="G47" t="str">
        <f>IF(E47&lt;&gt;'[1]By Asset Category'!$B$1,"",COUNTIF($E$6:E47,'[1]By Asset Category'!$B$1))</f>
        <v/>
      </c>
      <c r="H47" t="s">
        <v>182</v>
      </c>
      <c r="I47" t="s">
        <v>38</v>
      </c>
      <c r="J47" t="s">
        <v>183</v>
      </c>
      <c r="K47" t="s">
        <v>184</v>
      </c>
      <c r="L47" s="33"/>
      <c r="M47" s="34">
        <v>0</v>
      </c>
      <c r="N47" s="19">
        <v>200</v>
      </c>
      <c r="O47" s="19">
        <v>300</v>
      </c>
      <c r="P47" s="19"/>
      <c r="Q47" s="19">
        <f t="shared" si="23"/>
        <v>500</v>
      </c>
      <c r="R47" s="34">
        <v>75</v>
      </c>
      <c r="S47" s="19">
        <v>300</v>
      </c>
      <c r="T47" s="19">
        <v>250</v>
      </c>
      <c r="U47" s="19"/>
      <c r="V47" s="19">
        <f t="shared" si="24"/>
        <v>625</v>
      </c>
      <c r="W47" s="26">
        <v>100</v>
      </c>
      <c r="X47" s="21">
        <v>475</v>
      </c>
      <c r="Y47" s="21">
        <v>1000</v>
      </c>
      <c r="Z47" s="21"/>
      <c r="AA47" s="22">
        <f t="shared" si="25"/>
        <v>1575</v>
      </c>
      <c r="AB47" s="23"/>
      <c r="AC47" s="21">
        <v>200</v>
      </c>
      <c r="AD47" s="21">
        <v>2000</v>
      </c>
      <c r="AE47" s="21"/>
      <c r="AF47" s="35">
        <f t="shared" si="26"/>
        <v>2200</v>
      </c>
      <c r="AG47" s="23">
        <v>50</v>
      </c>
      <c r="AH47" s="21">
        <v>250</v>
      </c>
      <c r="AI47" s="21">
        <v>1500</v>
      </c>
      <c r="AJ47" s="21"/>
      <c r="AK47" s="22">
        <f t="shared" si="27"/>
        <v>1800</v>
      </c>
      <c r="AL47" s="23"/>
      <c r="AM47" s="21"/>
      <c r="AN47" s="21"/>
      <c r="AO47" s="21"/>
      <c r="AP47" s="22">
        <f t="shared" si="28"/>
        <v>0</v>
      </c>
      <c r="AQ47" s="23"/>
      <c r="AR47" s="21"/>
      <c r="AS47" s="21">
        <v>1000</v>
      </c>
      <c r="AT47" s="21"/>
      <c r="AU47" s="25">
        <f t="shared" si="29"/>
        <v>1000</v>
      </c>
      <c r="AV47" s="23"/>
      <c r="AW47" s="21"/>
      <c r="AX47" s="21">
        <v>1000</v>
      </c>
      <c r="AY47" s="21"/>
      <c r="AZ47" s="25">
        <f t="shared" si="21"/>
        <v>1000</v>
      </c>
      <c r="BA47" s="23"/>
      <c r="BB47" s="21"/>
      <c r="BC47" s="21"/>
      <c r="BD47" s="21"/>
      <c r="BE47" s="25">
        <f t="shared" si="22"/>
        <v>0</v>
      </c>
      <c r="BF47" s="23"/>
      <c r="BG47" s="21"/>
      <c r="BH47" s="21"/>
      <c r="BI47" s="21"/>
      <c r="BJ47" s="25">
        <f>SUM(BF47:BH47)</f>
        <v>0</v>
      </c>
      <c r="BK47" s="23"/>
      <c r="BL47" s="21"/>
      <c r="BM47" s="21"/>
      <c r="BN47" s="21"/>
      <c r="BO47" s="25">
        <f>SUM(BK47:BM47)</f>
        <v>0</v>
      </c>
      <c r="BP47" s="23"/>
      <c r="BQ47" s="21"/>
      <c r="BR47" s="21"/>
      <c r="BS47" s="21"/>
      <c r="BT47" s="25">
        <f t="shared" si="4"/>
        <v>0</v>
      </c>
      <c r="BU47" s="21"/>
      <c r="BV47" s="26"/>
      <c r="BW47" s="21"/>
      <c r="BX47" s="21"/>
      <c r="BY47" s="21"/>
      <c r="BZ47" s="27">
        <f t="shared" si="0"/>
        <v>0</v>
      </c>
      <c r="CA47" s="26"/>
      <c r="CB47" s="21"/>
      <c r="CC47" s="21"/>
      <c r="CD47" s="21"/>
      <c r="CE47" s="27">
        <f t="shared" si="1"/>
        <v>0</v>
      </c>
      <c r="CF47" s="26"/>
      <c r="CG47" s="21"/>
      <c r="CH47" s="21"/>
      <c r="CI47" s="21"/>
      <c r="CJ47" s="27">
        <f t="shared" si="32"/>
        <v>0</v>
      </c>
    </row>
    <row r="48" spans="2:88" x14ac:dyDescent="0.25">
      <c r="B48" t="s">
        <v>53</v>
      </c>
      <c r="C48" s="48">
        <v>3524452000</v>
      </c>
      <c r="D48" t="s">
        <v>185</v>
      </c>
      <c r="E48" t="str">
        <f t="shared" si="3"/>
        <v>$2 Billion - $10 Billion</v>
      </c>
      <c r="F48">
        <f>IF(C48="", "", COUNTIF($C$6:C48,"&gt;0"))</f>
        <v>43</v>
      </c>
      <c r="G48" t="str">
        <f>IF(E48&lt;&gt;'[1]By Asset Category'!$B$1,"",COUNTIF($E$6:E48,'[1]By Asset Category'!$B$1))</f>
        <v/>
      </c>
      <c r="H48" t="s">
        <v>186</v>
      </c>
      <c r="I48" t="s">
        <v>187</v>
      </c>
      <c r="J48" t="s">
        <v>188</v>
      </c>
      <c r="K48" t="s">
        <v>189</v>
      </c>
      <c r="L48" s="33"/>
      <c r="M48" s="34">
        <v>60</v>
      </c>
      <c r="N48" s="19">
        <v>435</v>
      </c>
      <c r="O48" s="19">
        <v>0</v>
      </c>
      <c r="P48" s="19"/>
      <c r="Q48" s="19">
        <f t="shared" si="23"/>
        <v>495</v>
      </c>
      <c r="R48" s="34">
        <v>55</v>
      </c>
      <c r="S48" s="19">
        <v>430</v>
      </c>
      <c r="T48" s="19">
        <v>0</v>
      </c>
      <c r="U48" s="19"/>
      <c r="V48" s="19">
        <f t="shared" si="24"/>
        <v>485</v>
      </c>
      <c r="W48" s="26">
        <v>0</v>
      </c>
      <c r="X48" s="21">
        <v>0</v>
      </c>
      <c r="Y48" s="21">
        <v>0</v>
      </c>
      <c r="Z48" s="21"/>
      <c r="AA48" s="22">
        <f t="shared" si="25"/>
        <v>0</v>
      </c>
      <c r="AB48" s="23">
        <v>65</v>
      </c>
      <c r="AC48" s="21">
        <v>455</v>
      </c>
      <c r="AD48" s="21"/>
      <c r="AE48" s="21"/>
      <c r="AF48" s="35">
        <f t="shared" si="26"/>
        <v>520</v>
      </c>
      <c r="AG48" s="23"/>
      <c r="AH48" s="21"/>
      <c r="AI48" s="21"/>
      <c r="AJ48" s="21"/>
      <c r="AK48" s="25">
        <f t="shared" si="27"/>
        <v>0</v>
      </c>
      <c r="AL48" s="23">
        <v>65</v>
      </c>
      <c r="AM48" s="21">
        <v>390</v>
      </c>
      <c r="AN48" s="21"/>
      <c r="AO48" s="21"/>
      <c r="AP48" s="25">
        <f t="shared" si="28"/>
        <v>455</v>
      </c>
      <c r="AQ48" s="23"/>
      <c r="AR48" s="21"/>
      <c r="AS48" s="21"/>
      <c r="AT48" s="21"/>
      <c r="AU48" s="25">
        <f t="shared" si="29"/>
        <v>0</v>
      </c>
      <c r="AV48" s="23"/>
      <c r="AW48" s="21"/>
      <c r="AX48" s="21"/>
      <c r="AY48" s="21"/>
      <c r="AZ48" s="25">
        <f t="shared" si="21"/>
        <v>0</v>
      </c>
      <c r="BA48" s="23"/>
      <c r="BB48" s="21"/>
      <c r="BC48" s="21"/>
      <c r="BD48" s="21"/>
      <c r="BE48" s="25">
        <f t="shared" si="22"/>
        <v>0</v>
      </c>
      <c r="BF48" s="23"/>
      <c r="BG48" s="21"/>
      <c r="BH48" s="21"/>
      <c r="BI48" s="21"/>
      <c r="BJ48" s="25">
        <f>SUM(BF48:BI48)</f>
        <v>0</v>
      </c>
      <c r="BK48" s="23"/>
      <c r="BL48" s="21"/>
      <c r="BM48" s="21"/>
      <c r="BN48" s="21"/>
      <c r="BO48" s="25">
        <f>SUM(BK48:BN48)</f>
        <v>0</v>
      </c>
      <c r="BP48" s="23"/>
      <c r="BQ48" s="21"/>
      <c r="BR48" s="21"/>
      <c r="BS48" s="21"/>
      <c r="BT48" s="25">
        <f t="shared" si="4"/>
        <v>0</v>
      </c>
      <c r="BU48" s="21">
        <v>1500</v>
      </c>
      <c r="BV48" s="26"/>
      <c r="BW48" s="21"/>
      <c r="BX48" s="21"/>
      <c r="BY48" s="21"/>
      <c r="BZ48" s="27">
        <f t="shared" si="0"/>
        <v>0</v>
      </c>
      <c r="CA48" s="26"/>
      <c r="CB48" s="21"/>
      <c r="CC48" s="21"/>
      <c r="CD48" s="21"/>
      <c r="CE48" s="27">
        <f t="shared" si="1"/>
        <v>0</v>
      </c>
      <c r="CF48" s="26"/>
      <c r="CG48" s="21"/>
      <c r="CH48" s="21"/>
      <c r="CI48" s="21"/>
      <c r="CJ48" s="27">
        <f t="shared" si="32"/>
        <v>0</v>
      </c>
    </row>
    <row r="49" spans="2:88" x14ac:dyDescent="0.25">
      <c r="B49" t="s">
        <v>41</v>
      </c>
      <c r="C49" s="48">
        <v>25583000</v>
      </c>
      <c r="D49" t="s">
        <v>190</v>
      </c>
      <c r="E49" t="str">
        <f t="shared" si="3"/>
        <v>Less than $350 Million</v>
      </c>
      <c r="F49">
        <f>IF(C49="", "", COUNTIF($C$6:C49,"&gt;0"))</f>
        <v>44</v>
      </c>
      <c r="G49" t="str">
        <f>IF(E49&lt;&gt;'[1]By Asset Category'!$B$1,"",COUNTIF($E$6:E49,'[1]By Asset Category'!$B$1))</f>
        <v/>
      </c>
      <c r="H49" t="s">
        <v>191</v>
      </c>
      <c r="L49" s="33"/>
      <c r="M49" s="34"/>
      <c r="N49" s="19"/>
      <c r="O49" s="19"/>
      <c r="P49" s="19"/>
      <c r="Q49" s="19"/>
      <c r="R49" s="34"/>
      <c r="S49" s="19"/>
      <c r="T49" s="19"/>
      <c r="U49" s="19"/>
      <c r="V49" s="19"/>
      <c r="W49" s="26"/>
      <c r="X49" s="21"/>
      <c r="Y49" s="21"/>
      <c r="Z49" s="21"/>
      <c r="AA49" s="22"/>
      <c r="AB49" s="23"/>
      <c r="AC49" s="21"/>
      <c r="AD49" s="21"/>
      <c r="AE49" s="21"/>
      <c r="AF49" s="35"/>
      <c r="AG49" s="23"/>
      <c r="AH49" s="21"/>
      <c r="AI49" s="21"/>
      <c r="AJ49" s="21"/>
      <c r="AK49" s="25"/>
      <c r="AL49" s="23"/>
      <c r="AM49" s="21"/>
      <c r="AN49" s="21"/>
      <c r="AO49" s="21"/>
      <c r="AP49" s="25"/>
      <c r="AQ49" s="23"/>
      <c r="AR49" s="21"/>
      <c r="AS49" s="21"/>
      <c r="AT49" s="21"/>
      <c r="AU49" s="25"/>
      <c r="AV49" s="23"/>
      <c r="AW49" s="21"/>
      <c r="AX49" s="21"/>
      <c r="AY49" s="21"/>
      <c r="AZ49" s="25"/>
      <c r="BA49" s="23"/>
      <c r="BB49" s="21"/>
      <c r="BC49" s="21"/>
      <c r="BD49" s="21"/>
      <c r="BE49" s="25"/>
      <c r="BF49" s="23"/>
      <c r="BG49" s="21"/>
      <c r="BH49" s="21"/>
      <c r="BI49" s="21"/>
      <c r="BJ49" s="25"/>
      <c r="BK49" s="23"/>
      <c r="BL49" s="21"/>
      <c r="BM49" s="21"/>
      <c r="BN49" s="21"/>
      <c r="BO49" s="25"/>
      <c r="BP49" s="23"/>
      <c r="BQ49" s="21"/>
      <c r="BR49" s="21"/>
      <c r="BS49" s="21"/>
      <c r="BT49" s="25"/>
      <c r="BU49" s="21"/>
      <c r="BV49" s="26"/>
      <c r="BW49" s="21"/>
      <c r="BX49" s="21"/>
      <c r="BY49" s="21"/>
      <c r="BZ49" s="27"/>
      <c r="CA49" s="26"/>
      <c r="CB49" s="21"/>
      <c r="CC49" s="21"/>
      <c r="CD49" s="21"/>
      <c r="CE49" s="27"/>
      <c r="CF49" s="26"/>
      <c r="CG49" s="21"/>
      <c r="CH49" s="21"/>
      <c r="CI49" s="21"/>
      <c r="CJ49" s="27"/>
    </row>
    <row r="50" spans="2:88" x14ac:dyDescent="0.25">
      <c r="B50" t="s">
        <v>58</v>
      </c>
      <c r="C50" s="17">
        <v>2063981000</v>
      </c>
      <c r="D50" t="s">
        <v>192</v>
      </c>
      <c r="E50" t="str">
        <f t="shared" si="3"/>
        <v>$2 Billion - $10 Billion</v>
      </c>
      <c r="F50">
        <f>IF(C50="", "", COUNTIF($C$6:C50,"&gt;0"))</f>
        <v>45</v>
      </c>
      <c r="G50" t="str">
        <f>IF(E50&lt;&gt;'[1]By Asset Category'!$B$1,"",COUNTIF($E$6:E50,'[1]By Asset Category'!$B$1))</f>
        <v/>
      </c>
      <c r="H50" t="s">
        <v>193</v>
      </c>
      <c r="I50" t="s">
        <v>3</v>
      </c>
      <c r="J50" t="s">
        <v>3</v>
      </c>
      <c r="K50" t="s">
        <v>3</v>
      </c>
      <c r="L50" s="33"/>
      <c r="M50" s="34">
        <v>0</v>
      </c>
      <c r="N50" s="19">
        <v>0</v>
      </c>
      <c r="O50" s="19">
        <v>0</v>
      </c>
      <c r="P50" s="19"/>
      <c r="Q50" s="19">
        <f t="shared" si="23"/>
        <v>0</v>
      </c>
      <c r="R50" s="34">
        <v>1145</v>
      </c>
      <c r="S50" s="19">
        <v>1070</v>
      </c>
      <c r="T50" s="19">
        <v>0</v>
      </c>
      <c r="U50" s="19"/>
      <c r="V50" s="19">
        <f t="shared" si="24"/>
        <v>2215</v>
      </c>
      <c r="W50" s="26">
        <v>2496</v>
      </c>
      <c r="X50" s="21">
        <v>450</v>
      </c>
      <c r="Y50" s="21">
        <v>0</v>
      </c>
      <c r="Z50" s="21"/>
      <c r="AA50" s="22">
        <f t="shared" si="25"/>
        <v>2946</v>
      </c>
      <c r="AB50" s="23">
        <v>2949</v>
      </c>
      <c r="AC50" s="21">
        <v>950</v>
      </c>
      <c r="AD50" s="21"/>
      <c r="AE50" s="21"/>
      <c r="AF50" s="35">
        <f t="shared" si="26"/>
        <v>3899</v>
      </c>
      <c r="AG50" s="23">
        <v>4036</v>
      </c>
      <c r="AH50" s="21">
        <v>1250</v>
      </c>
      <c r="AI50" s="21"/>
      <c r="AJ50" s="21"/>
      <c r="AK50" s="25">
        <f t="shared" si="27"/>
        <v>5286</v>
      </c>
      <c r="AL50" s="23">
        <v>4104</v>
      </c>
      <c r="AM50" s="21">
        <v>350</v>
      </c>
      <c r="AN50" s="21"/>
      <c r="AO50" s="21"/>
      <c r="AP50" s="25">
        <f t="shared" si="28"/>
        <v>4454</v>
      </c>
      <c r="AQ50" s="23">
        <v>3827</v>
      </c>
      <c r="AR50" s="21">
        <v>1400</v>
      </c>
      <c r="AS50" s="21"/>
      <c r="AT50" s="21"/>
      <c r="AU50" s="25">
        <f t="shared" si="29"/>
        <v>5227</v>
      </c>
      <c r="AV50" s="23">
        <f>4142+250</f>
        <v>4392</v>
      </c>
      <c r="AW50" s="21">
        <v>900</v>
      </c>
      <c r="AX50" s="21"/>
      <c r="AY50" s="21"/>
      <c r="AZ50" s="25">
        <f t="shared" si="21"/>
        <v>5292</v>
      </c>
      <c r="BA50" s="23">
        <v>4223</v>
      </c>
      <c r="BB50" s="21">
        <v>1050</v>
      </c>
      <c r="BC50" s="21"/>
      <c r="BD50" s="21"/>
      <c r="BE50" s="25">
        <f t="shared" si="22"/>
        <v>5273</v>
      </c>
      <c r="BF50" s="23">
        <v>4453</v>
      </c>
      <c r="BG50" s="21">
        <v>1300</v>
      </c>
      <c r="BH50" s="21"/>
      <c r="BI50" s="21"/>
      <c r="BJ50" s="25">
        <f>SUM(BF50:BI50)</f>
        <v>5753</v>
      </c>
      <c r="BK50" s="23">
        <v>6122</v>
      </c>
      <c r="BL50" s="21">
        <v>800</v>
      </c>
      <c r="BM50" s="21"/>
      <c r="BN50" s="21"/>
      <c r="BO50" s="25">
        <f>SUM(BK50:BN50)</f>
        <v>6922</v>
      </c>
      <c r="BP50" s="23">
        <v>4823</v>
      </c>
      <c r="BQ50" s="21">
        <v>1250</v>
      </c>
      <c r="BR50" s="21"/>
      <c r="BS50" s="21"/>
      <c r="BT50" s="25">
        <f t="shared" si="4"/>
        <v>6073</v>
      </c>
      <c r="BU50" s="21">
        <v>500</v>
      </c>
      <c r="BV50" s="26">
        <v>2560</v>
      </c>
      <c r="BW50" s="21">
        <v>2850</v>
      </c>
      <c r="BX50" s="21"/>
      <c r="BY50" s="21"/>
      <c r="BZ50" s="27">
        <f t="shared" si="0"/>
        <v>5410</v>
      </c>
      <c r="CA50" s="26">
        <v>7170</v>
      </c>
      <c r="CB50" s="21">
        <v>3550</v>
      </c>
      <c r="CC50" s="21"/>
      <c r="CD50" s="21"/>
      <c r="CE50" s="27">
        <f t="shared" si="1"/>
        <v>10720</v>
      </c>
      <c r="CF50" s="26">
        <v>7170</v>
      </c>
      <c r="CG50" s="21">
        <v>3550</v>
      </c>
      <c r="CH50" s="21"/>
      <c r="CI50" s="21"/>
      <c r="CJ50" s="27">
        <f t="shared" ref="CJ50" si="33">SUM(CF50:CI50)</f>
        <v>10720</v>
      </c>
    </row>
    <row r="51" spans="2:88" x14ac:dyDescent="0.25">
      <c r="B51" t="s">
        <v>58</v>
      </c>
      <c r="C51" s="17">
        <v>3190100000000</v>
      </c>
      <c r="D51" t="s">
        <v>194</v>
      </c>
      <c r="E51" t="str">
        <f t="shared" si="3"/>
        <v>Over $10 Billion</v>
      </c>
      <c r="F51">
        <f>IF(C51="", "", COUNTIF($C$6:C51,"&gt;0"))</f>
        <v>46</v>
      </c>
      <c r="G51" t="str">
        <f>IF(E51&lt;&gt;'[1]By Asset Category'!$B$1,"",COUNTIF($E$6:E51,'[1]By Asset Category'!$B$1))</f>
        <v/>
      </c>
      <c r="H51" t="s">
        <v>195</v>
      </c>
      <c r="L51" s="33"/>
      <c r="M51" s="34"/>
      <c r="N51" s="19"/>
      <c r="O51" s="19"/>
      <c r="P51" s="19"/>
      <c r="Q51" s="19"/>
      <c r="R51" s="34"/>
      <c r="S51" s="19"/>
      <c r="T51" s="19"/>
      <c r="U51" s="19"/>
      <c r="V51" s="19"/>
      <c r="W51" s="26"/>
      <c r="X51" s="21"/>
      <c r="Y51" s="21"/>
      <c r="Z51" s="21"/>
      <c r="AA51" s="22"/>
      <c r="AB51" s="23"/>
      <c r="AC51" s="21"/>
      <c r="AD51" s="21"/>
      <c r="AE51" s="21"/>
      <c r="AF51" s="35"/>
      <c r="AG51" s="23"/>
      <c r="AH51" s="21"/>
      <c r="AI51" s="21"/>
      <c r="AJ51" s="21"/>
      <c r="AK51" s="25"/>
      <c r="AL51" s="23"/>
      <c r="AM51" s="21"/>
      <c r="AN51" s="21"/>
      <c r="AO51" s="21"/>
      <c r="AP51" s="25"/>
      <c r="AQ51" s="23"/>
      <c r="AR51" s="21"/>
      <c r="AS51" s="21"/>
      <c r="AT51" s="21"/>
      <c r="AU51" s="25"/>
      <c r="AV51" s="23"/>
      <c r="AW51" s="21"/>
      <c r="AX51" s="21"/>
      <c r="AY51" s="21"/>
      <c r="AZ51" s="25"/>
      <c r="BA51" s="23"/>
      <c r="BB51" s="21"/>
      <c r="BC51" s="21"/>
      <c r="BD51" s="21"/>
      <c r="BE51" s="25"/>
      <c r="BF51" s="23"/>
      <c r="BG51" s="21"/>
      <c r="BH51" s="21"/>
      <c r="BI51" s="21"/>
      <c r="BJ51" s="25"/>
      <c r="BK51" s="23"/>
      <c r="BL51" s="21"/>
      <c r="BM51" s="21"/>
      <c r="BN51" s="21"/>
      <c r="BO51" s="25"/>
      <c r="BP51" s="23"/>
      <c r="BQ51" s="21"/>
      <c r="BR51" s="21"/>
      <c r="BS51" s="21"/>
      <c r="BT51" s="25"/>
      <c r="BU51" s="21"/>
      <c r="BV51" s="26"/>
      <c r="BW51" s="21"/>
      <c r="BX51" s="21"/>
      <c r="BY51" s="21"/>
      <c r="BZ51" s="27"/>
      <c r="CA51" s="26"/>
      <c r="CB51" s="21"/>
      <c r="CC51" s="21"/>
      <c r="CD51" s="21"/>
      <c r="CE51" s="27"/>
      <c r="CF51" s="26"/>
      <c r="CG51" s="21"/>
      <c r="CH51" s="21"/>
      <c r="CI51" s="21"/>
      <c r="CJ51" s="27"/>
    </row>
    <row r="52" spans="2:88" x14ac:dyDescent="0.25">
      <c r="B52" t="s">
        <v>53</v>
      </c>
      <c r="C52" s="17">
        <v>170744000</v>
      </c>
      <c r="D52" t="s">
        <v>196</v>
      </c>
      <c r="E52" t="str">
        <f t="shared" si="3"/>
        <v>Less than $350 Million</v>
      </c>
      <c r="F52">
        <f>IF(C52="", "", COUNTIF($C$6:C52,"&gt;0"))</f>
        <v>47</v>
      </c>
      <c r="G52" t="str">
        <f>IF(E52&lt;&gt;'[1]By Asset Category'!$B$1,"",COUNTIF($E$6:E52,'[1]By Asset Category'!$B$1))</f>
        <v/>
      </c>
      <c r="H52" t="s">
        <v>197</v>
      </c>
      <c r="I52" t="s">
        <v>91</v>
      </c>
      <c r="J52" t="s">
        <v>198</v>
      </c>
      <c r="K52" t="s">
        <v>199</v>
      </c>
      <c r="L52" s="33"/>
      <c r="M52" s="34">
        <v>0</v>
      </c>
      <c r="N52" s="19">
        <v>0</v>
      </c>
      <c r="O52" s="19">
        <v>300</v>
      </c>
      <c r="P52" s="19">
        <v>0</v>
      </c>
      <c r="Q52" s="19">
        <f t="shared" si="23"/>
        <v>300</v>
      </c>
      <c r="R52" s="34">
        <v>0</v>
      </c>
      <c r="S52" s="19">
        <v>0</v>
      </c>
      <c r="T52" s="19">
        <v>0</v>
      </c>
      <c r="U52" s="19">
        <v>0</v>
      </c>
      <c r="V52" s="19">
        <f t="shared" si="24"/>
        <v>0</v>
      </c>
      <c r="W52" s="26">
        <v>0</v>
      </c>
      <c r="X52" s="21">
        <v>0</v>
      </c>
      <c r="Y52" s="21">
        <v>500</v>
      </c>
      <c r="Z52" s="21"/>
      <c r="AA52" s="22">
        <f t="shared" si="25"/>
        <v>500</v>
      </c>
      <c r="AB52" s="23"/>
      <c r="AC52" s="21"/>
      <c r="AD52" s="21">
        <v>500</v>
      </c>
      <c r="AE52" s="21"/>
      <c r="AF52" s="35">
        <f t="shared" si="26"/>
        <v>500</v>
      </c>
      <c r="AG52" s="23"/>
      <c r="AH52" s="21"/>
      <c r="AI52" s="21"/>
      <c r="AJ52" s="21"/>
      <c r="AK52" s="25">
        <f t="shared" si="27"/>
        <v>0</v>
      </c>
      <c r="AL52" s="23"/>
      <c r="AM52" s="21"/>
      <c r="AN52" s="21">
        <v>500</v>
      </c>
      <c r="AO52" s="21"/>
      <c r="AP52" s="25">
        <f t="shared" si="28"/>
        <v>500</v>
      </c>
      <c r="AQ52" s="23"/>
      <c r="AR52" s="21"/>
      <c r="AS52" s="21">
        <v>500</v>
      </c>
      <c r="AT52" s="21"/>
      <c r="AU52" s="25">
        <f t="shared" si="29"/>
        <v>500</v>
      </c>
      <c r="AV52" s="23"/>
      <c r="AW52" s="21"/>
      <c r="AX52" s="21">
        <v>500</v>
      </c>
      <c r="AY52" s="21"/>
      <c r="AZ52" s="25">
        <f t="shared" si="21"/>
        <v>500</v>
      </c>
      <c r="BA52" s="23"/>
      <c r="BB52" s="21"/>
      <c r="BC52" s="21">
        <v>500</v>
      </c>
      <c r="BD52" s="21"/>
      <c r="BE52" s="25">
        <f t="shared" si="22"/>
        <v>500</v>
      </c>
      <c r="BF52" s="23"/>
      <c r="BG52" s="21"/>
      <c r="BH52" s="21"/>
      <c r="BI52" s="21"/>
      <c r="BJ52" s="25">
        <f>SUM(BF52:BI52)</f>
        <v>0</v>
      </c>
      <c r="BK52" s="23"/>
      <c r="BL52" s="21"/>
      <c r="BM52" s="21"/>
      <c r="BN52" s="21"/>
      <c r="BO52" s="25">
        <f>SUM(BK52:BN52)</f>
        <v>0</v>
      </c>
      <c r="BP52" s="23">
        <v>500</v>
      </c>
      <c r="BQ52" s="21"/>
      <c r="BR52" s="21">
        <v>500</v>
      </c>
      <c r="BS52" s="21"/>
      <c r="BT52" s="25">
        <f t="shared" si="4"/>
        <v>1000</v>
      </c>
      <c r="BU52" s="21"/>
      <c r="BV52" s="26">
        <v>1000</v>
      </c>
      <c r="BW52" s="21"/>
      <c r="BX52" s="21">
        <v>500</v>
      </c>
      <c r="BY52" s="21"/>
      <c r="BZ52" s="27">
        <f t="shared" si="0"/>
        <v>1500</v>
      </c>
      <c r="CA52" s="26">
        <v>1500</v>
      </c>
      <c r="CB52" s="21"/>
      <c r="CC52" s="21">
        <v>500</v>
      </c>
      <c r="CD52" s="21"/>
      <c r="CE52" s="27">
        <f t="shared" si="1"/>
        <v>2000</v>
      </c>
      <c r="CF52" s="26">
        <v>1500</v>
      </c>
      <c r="CG52" s="21"/>
      <c r="CH52" s="21">
        <v>500</v>
      </c>
      <c r="CI52" s="21"/>
      <c r="CJ52" s="27">
        <f t="shared" ref="CJ52" si="34">SUM(CF52:CI52)</f>
        <v>2000</v>
      </c>
    </row>
    <row r="53" spans="2:88" x14ac:dyDescent="0.25">
      <c r="B53" t="s">
        <v>53</v>
      </c>
      <c r="C53" s="17">
        <v>339729000</v>
      </c>
      <c r="D53" t="s">
        <v>200</v>
      </c>
      <c r="E53" t="str">
        <f t="shared" si="3"/>
        <v>Less than $350 Million</v>
      </c>
      <c r="F53">
        <f>IF(C53="", "", COUNTIF($C$6:C53,"&gt;0"))</f>
        <v>48</v>
      </c>
      <c r="G53" t="str">
        <f>IF(E53&lt;&gt;'[1]By Asset Category'!$B$1,"",COUNTIF($E$6:E53,'[1]By Asset Category'!$B$1))</f>
        <v/>
      </c>
      <c r="H53" s="30" t="s">
        <v>201</v>
      </c>
      <c r="I53" t="s">
        <v>38</v>
      </c>
      <c r="L53" s="33"/>
      <c r="M53" s="34">
        <v>0</v>
      </c>
      <c r="N53" s="19">
        <v>0</v>
      </c>
      <c r="O53" s="19">
        <v>0</v>
      </c>
      <c r="P53" s="19">
        <v>0</v>
      </c>
      <c r="Q53" s="19">
        <f>SUM(M53:P53)</f>
        <v>0</v>
      </c>
      <c r="R53" s="34">
        <v>0</v>
      </c>
      <c r="S53" s="19">
        <v>0</v>
      </c>
      <c r="T53" s="19">
        <v>0</v>
      </c>
      <c r="U53" s="19">
        <v>0</v>
      </c>
      <c r="V53" s="19">
        <f>SUM(R53:U53)</f>
        <v>0</v>
      </c>
      <c r="W53" s="26">
        <v>0</v>
      </c>
      <c r="X53" s="21">
        <v>0</v>
      </c>
      <c r="Y53" s="21">
        <v>0</v>
      </c>
      <c r="Z53" s="21"/>
      <c r="AA53" s="22">
        <f>SUM(W53:Z53)</f>
        <v>0</v>
      </c>
      <c r="AB53" s="23"/>
      <c r="AC53" s="21"/>
      <c r="AD53" s="21"/>
      <c r="AE53" s="21"/>
      <c r="AF53" s="35">
        <f>SUM(AB53:AE53)</f>
        <v>0</v>
      </c>
      <c r="AG53" s="23"/>
      <c r="AH53" s="21"/>
      <c r="AI53" s="21"/>
      <c r="AJ53" s="21"/>
      <c r="AK53" s="25">
        <f>SUM(AG53:AJ53)</f>
        <v>0</v>
      </c>
      <c r="AL53" s="23"/>
      <c r="AM53" s="21"/>
      <c r="AN53" s="21"/>
      <c r="AO53" s="21"/>
      <c r="AP53" s="25">
        <f>SUM(AL53:AO53)</f>
        <v>0</v>
      </c>
      <c r="AQ53" s="23"/>
      <c r="AR53" s="21"/>
      <c r="AS53" s="21"/>
      <c r="AT53" s="21"/>
      <c r="AU53" s="25">
        <f>SUM(AQ53:AT53)</f>
        <v>0</v>
      </c>
      <c r="AV53" s="23"/>
      <c r="AW53" s="21"/>
      <c r="AX53" s="21"/>
      <c r="AY53" s="21"/>
      <c r="AZ53" s="25">
        <f>SUM(AV53:AY53)</f>
        <v>0</v>
      </c>
      <c r="BA53" s="23"/>
      <c r="BB53" s="21"/>
      <c r="BC53" s="21"/>
      <c r="BD53" s="21"/>
      <c r="BE53" s="25">
        <f>SUM(BA53:BD53)</f>
        <v>0</v>
      </c>
      <c r="BF53" s="23"/>
      <c r="BG53" s="21"/>
      <c r="BH53" s="21"/>
      <c r="BI53" s="21"/>
      <c r="BJ53" s="25">
        <f>SUM(BF53:BI53)</f>
        <v>0</v>
      </c>
      <c r="BK53" s="23"/>
      <c r="BL53" s="21"/>
      <c r="BM53" s="21"/>
      <c r="BN53" s="21"/>
      <c r="BO53" s="25">
        <f>SUM(BK53:BN53)</f>
        <v>0</v>
      </c>
      <c r="BP53" s="23"/>
      <c r="BQ53" s="21"/>
      <c r="BR53" s="21"/>
      <c r="BS53" s="21"/>
      <c r="BT53" s="25">
        <f t="shared" si="4"/>
        <v>0</v>
      </c>
      <c r="BU53" s="21"/>
      <c r="BV53" s="26"/>
      <c r="BW53" s="21"/>
      <c r="BX53" s="21"/>
      <c r="BY53" s="21"/>
      <c r="BZ53" s="27">
        <f>SUM(BV53:BY53)</f>
        <v>0</v>
      </c>
      <c r="CA53" s="26"/>
      <c r="CB53" s="21"/>
      <c r="CC53" s="21"/>
      <c r="CD53" s="21"/>
      <c r="CE53" s="27">
        <f>SUM(CA53:CD53)</f>
        <v>0</v>
      </c>
      <c r="CF53" s="26"/>
      <c r="CG53" s="21"/>
      <c r="CH53" s="21"/>
      <c r="CI53" s="21"/>
      <c r="CJ53" s="27">
        <f>SUM(CF53:CI53)</f>
        <v>0</v>
      </c>
    </row>
    <row r="54" spans="2:88" x14ac:dyDescent="0.25">
      <c r="B54" t="s">
        <v>47</v>
      </c>
      <c r="C54" s="17">
        <v>150227852000</v>
      </c>
      <c r="D54" t="s">
        <v>202</v>
      </c>
      <c r="E54" t="str">
        <f t="shared" si="3"/>
        <v>Over $10 Billion</v>
      </c>
      <c r="F54">
        <f>IF(C54="", "", COUNTIF($C$6:C54,"&gt;0"))</f>
        <v>49</v>
      </c>
      <c r="G54" t="str">
        <f>IF(E54&lt;&gt;'[1]By Asset Category'!$B$1,"",COUNTIF($E$6:E54,'[1]By Asset Category'!$B$1))</f>
        <v/>
      </c>
      <c r="H54" t="s">
        <v>203</v>
      </c>
      <c r="I54" t="s">
        <v>3</v>
      </c>
      <c r="J54" t="s">
        <v>3</v>
      </c>
      <c r="K54" t="s">
        <v>3</v>
      </c>
      <c r="L54" s="33"/>
      <c r="M54" s="34"/>
      <c r="N54" s="19"/>
      <c r="O54" s="19"/>
      <c r="P54" s="19"/>
      <c r="Q54" s="19">
        <f t="shared" si="23"/>
        <v>0</v>
      </c>
      <c r="R54" s="34">
        <v>250</v>
      </c>
      <c r="S54" s="19"/>
      <c r="T54" s="19"/>
      <c r="U54" s="19"/>
      <c r="V54" s="19">
        <f t="shared" si="24"/>
        <v>250</v>
      </c>
      <c r="W54" s="26">
        <v>500</v>
      </c>
      <c r="X54" s="21"/>
      <c r="Y54" s="21"/>
      <c r="Z54" s="21">
        <v>1000</v>
      </c>
      <c r="AA54" s="22">
        <f t="shared" si="25"/>
        <v>1500</v>
      </c>
      <c r="AB54" s="23">
        <v>500</v>
      </c>
      <c r="AC54" s="21"/>
      <c r="AD54" s="21"/>
      <c r="AE54" s="21"/>
      <c r="AF54" s="35">
        <f t="shared" si="26"/>
        <v>500</v>
      </c>
      <c r="AG54" s="23">
        <v>1499</v>
      </c>
      <c r="AH54" s="21"/>
      <c r="AI54" s="21"/>
      <c r="AJ54" s="21">
        <v>2500</v>
      </c>
      <c r="AK54" s="25">
        <f t="shared" si="27"/>
        <v>3999</v>
      </c>
      <c r="AL54" s="23">
        <v>1070</v>
      </c>
      <c r="AM54" s="21"/>
      <c r="AN54" s="21"/>
      <c r="AO54" s="21">
        <v>2500</v>
      </c>
      <c r="AP54" s="25">
        <f t="shared" si="28"/>
        <v>3570</v>
      </c>
      <c r="AQ54" s="23"/>
      <c r="AR54" s="21"/>
      <c r="AS54" s="21"/>
      <c r="AT54" s="21">
        <v>2500</v>
      </c>
      <c r="AU54" s="25">
        <f t="shared" si="29"/>
        <v>2500</v>
      </c>
      <c r="AV54" s="23"/>
      <c r="AW54" s="21"/>
      <c r="AX54" s="21"/>
      <c r="AY54" s="21"/>
      <c r="AZ54" s="25">
        <f t="shared" si="21"/>
        <v>0</v>
      </c>
      <c r="BA54" s="23"/>
      <c r="BB54" s="21"/>
      <c r="BC54" s="21"/>
      <c r="BD54" s="21"/>
      <c r="BE54" s="25">
        <f t="shared" si="22"/>
        <v>0</v>
      </c>
      <c r="BF54" s="23"/>
      <c r="BG54" s="21"/>
      <c r="BH54" s="21"/>
      <c r="BI54" s="21"/>
      <c r="BJ54" s="25"/>
      <c r="BK54" s="23"/>
      <c r="BL54" s="21"/>
      <c r="BM54" s="21"/>
      <c r="BN54" s="21">
        <v>2000</v>
      </c>
      <c r="BO54" s="25"/>
      <c r="BP54" s="23">
        <v>1970</v>
      </c>
      <c r="BQ54" s="21">
        <v>300</v>
      </c>
      <c r="BR54" s="21">
        <v>750</v>
      </c>
      <c r="BS54" s="21"/>
      <c r="BT54" s="25">
        <f t="shared" si="4"/>
        <v>3020</v>
      </c>
      <c r="BU54" s="21"/>
      <c r="BV54" s="26"/>
      <c r="BW54" s="21"/>
      <c r="BX54" s="21">
        <v>2000</v>
      </c>
      <c r="BY54" s="21"/>
      <c r="BZ54" s="27">
        <f t="shared" si="0"/>
        <v>2000</v>
      </c>
      <c r="CA54" s="26"/>
      <c r="CB54" s="21"/>
      <c r="CC54" s="21">
        <v>2500</v>
      </c>
      <c r="CD54" s="21"/>
      <c r="CE54" s="27">
        <f t="shared" ref="CE54:CE101" si="35">SUM(CA54:CD54)</f>
        <v>2500</v>
      </c>
      <c r="CF54" s="26"/>
      <c r="CG54" s="21"/>
      <c r="CH54" s="21">
        <v>2500</v>
      </c>
      <c r="CI54" s="21"/>
      <c r="CJ54" s="27">
        <f t="shared" ref="CJ54:CJ66" si="36">SUM(CF54:CI54)</f>
        <v>2500</v>
      </c>
    </row>
    <row r="55" spans="2:88" x14ac:dyDescent="0.25">
      <c r="B55" t="s">
        <v>58</v>
      </c>
      <c r="C55" s="17">
        <v>1707975000</v>
      </c>
      <c r="D55" t="s">
        <v>204</v>
      </c>
      <c r="E55" t="str">
        <f t="shared" si="3"/>
        <v>$800 Million - $2 Billion</v>
      </c>
      <c r="F55">
        <f>IF(C55="", "", COUNTIF($C$6:C55,"&gt;0"))</f>
        <v>50</v>
      </c>
      <c r="G55">
        <f>IF(E55&lt;&gt;'[1]By Asset Category'!$B$1,"",COUNTIF($E$6:E55,'[1]By Asset Category'!$B$1))</f>
        <v>14</v>
      </c>
      <c r="H55" t="s">
        <v>205</v>
      </c>
      <c r="I55" t="s">
        <v>206</v>
      </c>
      <c r="J55" t="s">
        <v>207</v>
      </c>
      <c r="K55" t="s">
        <v>208</v>
      </c>
      <c r="L55" s="33" t="s">
        <v>3</v>
      </c>
      <c r="M55" s="34">
        <v>765</v>
      </c>
      <c r="N55" s="19">
        <v>50</v>
      </c>
      <c r="O55" s="19">
        <v>0</v>
      </c>
      <c r="P55" s="19"/>
      <c r="Q55" s="19">
        <f t="shared" si="23"/>
        <v>815</v>
      </c>
      <c r="R55" s="34">
        <v>1310</v>
      </c>
      <c r="S55" s="19">
        <v>250</v>
      </c>
      <c r="T55" s="19">
        <v>1080</v>
      </c>
      <c r="U55" s="19"/>
      <c r="V55" s="19">
        <f t="shared" si="24"/>
        <v>2640</v>
      </c>
      <c r="W55" s="26">
        <v>1510</v>
      </c>
      <c r="X55" s="21">
        <v>400</v>
      </c>
      <c r="Y55" s="21">
        <v>965</v>
      </c>
      <c r="Z55" s="21"/>
      <c r="AA55" s="22">
        <f t="shared" si="25"/>
        <v>2875</v>
      </c>
      <c r="AB55" s="23">
        <v>550</v>
      </c>
      <c r="AC55" s="21">
        <v>600</v>
      </c>
      <c r="AD55" s="21">
        <v>2550</v>
      </c>
      <c r="AE55" s="21"/>
      <c r="AF55" s="35">
        <f t="shared" si="26"/>
        <v>3700</v>
      </c>
      <c r="AG55" s="23">
        <v>495</v>
      </c>
      <c r="AH55" s="21">
        <v>500</v>
      </c>
      <c r="AI55" s="21">
        <v>3050</v>
      </c>
      <c r="AJ55" s="21"/>
      <c r="AK55" s="25">
        <f t="shared" si="27"/>
        <v>4045</v>
      </c>
      <c r="AL55" s="23">
        <v>715</v>
      </c>
      <c r="AM55" s="21">
        <v>650</v>
      </c>
      <c r="AN55" s="21">
        <v>2685</v>
      </c>
      <c r="AO55" s="21"/>
      <c r="AP55" s="25">
        <f t="shared" si="28"/>
        <v>4050</v>
      </c>
      <c r="AQ55" s="23">
        <v>685</v>
      </c>
      <c r="AR55" s="21">
        <v>200</v>
      </c>
      <c r="AS55" s="21">
        <v>615</v>
      </c>
      <c r="AT55" s="21"/>
      <c r="AU55" s="25">
        <f t="shared" si="29"/>
        <v>1500</v>
      </c>
      <c r="AV55" s="23">
        <v>960</v>
      </c>
      <c r="AW55" s="21">
        <v>600</v>
      </c>
      <c r="AX55" s="21">
        <v>640</v>
      </c>
      <c r="AY55" s="21"/>
      <c r="AZ55" s="25">
        <f t="shared" si="21"/>
        <v>2200</v>
      </c>
      <c r="BA55" s="23">
        <v>1860</v>
      </c>
      <c r="BB55" s="21">
        <v>400</v>
      </c>
      <c r="BC55" s="21"/>
      <c r="BD55" s="21"/>
      <c r="BE55" s="25">
        <v>1000</v>
      </c>
      <c r="BF55" s="23">
        <v>1390</v>
      </c>
      <c r="BG55" s="21">
        <v>100</v>
      </c>
      <c r="BH55" s="21">
        <v>1000</v>
      </c>
      <c r="BI55" s="21"/>
      <c r="BJ55" s="25">
        <f>SUM(BF55:BI55)</f>
        <v>2490</v>
      </c>
      <c r="BK55" s="23">
        <v>1955</v>
      </c>
      <c r="BL55" s="21"/>
      <c r="BM55" s="21"/>
      <c r="BN55" s="21"/>
      <c r="BO55" s="25">
        <f>SUM(BK55:BN55)</f>
        <v>1955</v>
      </c>
      <c r="BP55" s="23"/>
      <c r="BQ55" s="21"/>
      <c r="BR55" s="21"/>
      <c r="BS55" s="21"/>
      <c r="BT55" s="25">
        <f t="shared" si="4"/>
        <v>0</v>
      </c>
      <c r="BU55" s="21"/>
      <c r="BV55" s="26">
        <v>2425</v>
      </c>
      <c r="BW55" s="21">
        <v>350</v>
      </c>
      <c r="BX55" s="21">
        <v>750</v>
      </c>
      <c r="BY55" s="21"/>
      <c r="BZ55" s="27">
        <f t="shared" si="0"/>
        <v>3525</v>
      </c>
      <c r="CA55" s="26"/>
      <c r="CB55" s="21"/>
      <c r="CC55" s="21">
        <v>750</v>
      </c>
      <c r="CD55" s="21"/>
      <c r="CE55" s="27">
        <f t="shared" si="35"/>
        <v>750</v>
      </c>
      <c r="CF55" s="26"/>
      <c r="CG55" s="21"/>
      <c r="CH55" s="21">
        <v>750</v>
      </c>
      <c r="CI55" s="21"/>
      <c r="CJ55" s="27">
        <f t="shared" si="36"/>
        <v>750</v>
      </c>
    </row>
    <row r="56" spans="2:88" x14ac:dyDescent="0.25">
      <c r="B56" t="s">
        <v>35</v>
      </c>
      <c r="C56" s="17">
        <v>38089000</v>
      </c>
      <c r="D56" t="s">
        <v>209</v>
      </c>
      <c r="E56" t="str">
        <f t="shared" si="3"/>
        <v>Less than $350 Million</v>
      </c>
      <c r="F56">
        <f>IF(C56="", "", COUNTIF($C$6:C56,"&gt;0"))</f>
        <v>51</v>
      </c>
      <c r="G56" t="str">
        <f>IF(E56&lt;&gt;'[1]By Asset Category'!$B$1,"",COUNTIF($E$6:E56,'[1]By Asset Category'!$B$1))</f>
        <v/>
      </c>
      <c r="H56" t="s">
        <v>210</v>
      </c>
      <c r="I56" t="s">
        <v>38</v>
      </c>
      <c r="J56" t="s">
        <v>211</v>
      </c>
      <c r="K56" t="s">
        <v>212</v>
      </c>
      <c r="L56" s="33"/>
      <c r="M56" s="34">
        <v>0</v>
      </c>
      <c r="N56" s="19">
        <v>0</v>
      </c>
      <c r="O56" s="19">
        <v>0</v>
      </c>
      <c r="P56" s="19">
        <v>0</v>
      </c>
      <c r="Q56" s="19">
        <f t="shared" si="23"/>
        <v>0</v>
      </c>
      <c r="R56" s="34">
        <v>0</v>
      </c>
      <c r="S56" s="19">
        <v>0</v>
      </c>
      <c r="T56" s="19">
        <v>0</v>
      </c>
      <c r="U56" s="19">
        <v>0</v>
      </c>
      <c r="V56" s="19">
        <f t="shared" si="24"/>
        <v>0</v>
      </c>
      <c r="W56" s="26">
        <v>0</v>
      </c>
      <c r="X56" s="21">
        <v>0</v>
      </c>
      <c r="Y56" s="21">
        <v>500</v>
      </c>
      <c r="Z56" s="21"/>
      <c r="AA56" s="22">
        <f t="shared" si="25"/>
        <v>500</v>
      </c>
      <c r="AB56" s="23"/>
      <c r="AC56" s="21"/>
      <c r="AD56" s="21"/>
      <c r="AE56" s="21"/>
      <c r="AF56" s="35">
        <f t="shared" si="26"/>
        <v>0</v>
      </c>
      <c r="AG56" s="23"/>
      <c r="AH56" s="21"/>
      <c r="AI56" s="21"/>
      <c r="AJ56" s="21"/>
      <c r="AK56" s="25">
        <f t="shared" si="27"/>
        <v>0</v>
      </c>
      <c r="AL56" s="23"/>
      <c r="AM56" s="21"/>
      <c r="AN56" s="21"/>
      <c r="AO56" s="21"/>
      <c r="AP56" s="25">
        <f t="shared" si="28"/>
        <v>0</v>
      </c>
      <c r="AQ56" s="23"/>
      <c r="AR56" s="21"/>
      <c r="AS56" s="21"/>
      <c r="AT56" s="21"/>
      <c r="AU56" s="25">
        <f t="shared" si="29"/>
        <v>0</v>
      </c>
      <c r="AV56" s="23"/>
      <c r="AW56" s="21"/>
      <c r="AX56" s="21"/>
      <c r="AY56" s="21"/>
      <c r="AZ56" s="25">
        <f t="shared" si="21"/>
        <v>0</v>
      </c>
      <c r="BA56" s="23"/>
      <c r="BB56" s="21"/>
      <c r="BC56" s="21"/>
      <c r="BD56" s="21"/>
      <c r="BE56" s="25">
        <f>SUM(BA56:BD56)</f>
        <v>0</v>
      </c>
      <c r="BF56" s="23"/>
      <c r="BG56" s="21"/>
      <c r="BH56" s="21"/>
      <c r="BI56" s="21"/>
      <c r="BJ56" s="25">
        <f>SUM(BF56:BH56)</f>
        <v>0</v>
      </c>
      <c r="BK56" s="23"/>
      <c r="BL56" s="21"/>
      <c r="BM56" s="21"/>
      <c r="BN56" s="21"/>
      <c r="BO56" s="25">
        <f>SUM(BK56:BM56)</f>
        <v>0</v>
      </c>
      <c r="BP56" s="23"/>
      <c r="BQ56" s="21"/>
      <c r="BR56" s="21"/>
      <c r="BS56" s="21"/>
      <c r="BT56" s="25">
        <f t="shared" si="4"/>
        <v>0</v>
      </c>
      <c r="BU56" s="21"/>
      <c r="BV56" s="26"/>
      <c r="BW56" s="21"/>
      <c r="BX56" s="21"/>
      <c r="BY56" s="21"/>
      <c r="BZ56" s="27">
        <f t="shared" si="0"/>
        <v>0</v>
      </c>
      <c r="CA56" s="26"/>
      <c r="CB56" s="21"/>
      <c r="CC56" s="21"/>
      <c r="CD56" s="21"/>
      <c r="CE56" s="27">
        <f t="shared" si="35"/>
        <v>0</v>
      </c>
      <c r="CF56" s="26"/>
      <c r="CG56" s="21"/>
      <c r="CH56" s="21"/>
      <c r="CI56" s="21"/>
      <c r="CJ56" s="27">
        <f t="shared" si="36"/>
        <v>0</v>
      </c>
    </row>
    <row r="57" spans="2:88" x14ac:dyDescent="0.25">
      <c r="B57" t="s">
        <v>53</v>
      </c>
      <c r="C57" s="17">
        <v>92862000</v>
      </c>
      <c r="D57" t="s">
        <v>213</v>
      </c>
      <c r="E57" t="str">
        <f t="shared" si="3"/>
        <v>Less than $350 Million</v>
      </c>
      <c r="F57">
        <f>IF(C57="", "", COUNTIF($C$6:C57,"&gt;0"))</f>
        <v>52</v>
      </c>
      <c r="G57" t="str">
        <f>IF(E57&lt;&gt;'[1]By Asset Category'!$B$1,"",COUNTIF($E$6:E57,'[1]By Asset Category'!$B$1))</f>
        <v/>
      </c>
      <c r="H57" t="s">
        <v>214</v>
      </c>
      <c r="I57" t="s">
        <v>38</v>
      </c>
      <c r="J57" t="s">
        <v>215</v>
      </c>
      <c r="K57" t="s">
        <v>216</v>
      </c>
      <c r="L57" s="33"/>
      <c r="M57" s="34">
        <v>195</v>
      </c>
      <c r="N57" s="19">
        <v>0</v>
      </c>
      <c r="O57" s="19">
        <v>100</v>
      </c>
      <c r="P57" s="19"/>
      <c r="Q57" s="19">
        <f t="shared" si="23"/>
        <v>295</v>
      </c>
      <c r="R57" s="34">
        <v>30</v>
      </c>
      <c r="S57" s="19">
        <v>0</v>
      </c>
      <c r="T57" s="19">
        <v>100</v>
      </c>
      <c r="U57" s="19"/>
      <c r="V57" s="19">
        <f t="shared" si="24"/>
        <v>130</v>
      </c>
      <c r="W57" s="26">
        <v>0</v>
      </c>
      <c r="X57" s="21">
        <v>100</v>
      </c>
      <c r="Y57" s="21">
        <v>200</v>
      </c>
      <c r="Z57" s="21"/>
      <c r="AA57" s="22">
        <f t="shared" si="25"/>
        <v>300</v>
      </c>
      <c r="AB57" s="23">
        <v>95</v>
      </c>
      <c r="AC57" s="21"/>
      <c r="AD57" s="21">
        <v>400</v>
      </c>
      <c r="AE57" s="21"/>
      <c r="AF57" s="35">
        <f t="shared" si="26"/>
        <v>495</v>
      </c>
      <c r="AG57" s="23">
        <v>150</v>
      </c>
      <c r="AH57" s="21">
        <v>100</v>
      </c>
      <c r="AI57" s="21">
        <v>300</v>
      </c>
      <c r="AJ57" s="21"/>
      <c r="AK57" s="25">
        <f t="shared" si="27"/>
        <v>550</v>
      </c>
      <c r="AL57" s="23"/>
      <c r="AM57" s="21"/>
      <c r="AN57" s="21">
        <v>300</v>
      </c>
      <c r="AO57" s="21"/>
      <c r="AP57" s="25">
        <f t="shared" si="28"/>
        <v>300</v>
      </c>
      <c r="AQ57" s="23"/>
      <c r="AR57" s="21"/>
      <c r="AS57" s="21"/>
      <c r="AT57" s="21"/>
      <c r="AU57" s="25">
        <f t="shared" si="29"/>
        <v>0</v>
      </c>
      <c r="AV57" s="23">
        <v>50</v>
      </c>
      <c r="AW57" s="21"/>
      <c r="AX57" s="21">
        <v>250</v>
      </c>
      <c r="AY57" s="21"/>
      <c r="AZ57" s="25">
        <f t="shared" si="21"/>
        <v>300</v>
      </c>
      <c r="BA57" s="23"/>
      <c r="BB57" s="21"/>
      <c r="BC57" s="21">
        <v>250</v>
      </c>
      <c r="BD57" s="21"/>
      <c r="BE57" s="25">
        <f>SUM(BA57:BD57)</f>
        <v>250</v>
      </c>
      <c r="BF57" s="23"/>
      <c r="BG57" s="21"/>
      <c r="BH57" s="21"/>
      <c r="BI57" s="21"/>
      <c r="BJ57" s="25">
        <f>SUM(BF57:BI57)</f>
        <v>0</v>
      </c>
      <c r="BK57" s="23"/>
      <c r="BL57" s="21"/>
      <c r="BM57" s="21">
        <v>250</v>
      </c>
      <c r="BN57" s="21"/>
      <c r="BO57" s="25">
        <f>SUM(BK57:BN57)</f>
        <v>250</v>
      </c>
      <c r="BP57" s="23"/>
      <c r="BQ57" s="21"/>
      <c r="BR57" s="21"/>
      <c r="BS57" s="21"/>
      <c r="BT57" s="25">
        <f t="shared" si="4"/>
        <v>0</v>
      </c>
      <c r="BU57" s="21"/>
      <c r="BV57" s="26"/>
      <c r="BW57" s="21"/>
      <c r="BX57" s="21"/>
      <c r="BY57" s="21"/>
      <c r="BZ57" s="27">
        <f t="shared" si="0"/>
        <v>0</v>
      </c>
      <c r="CA57" s="26"/>
      <c r="CB57" s="21"/>
      <c r="CC57" s="21"/>
      <c r="CD57" s="21"/>
      <c r="CE57" s="27">
        <f t="shared" si="35"/>
        <v>0</v>
      </c>
      <c r="CF57" s="26"/>
      <c r="CG57" s="21"/>
      <c r="CH57" s="21"/>
      <c r="CI57" s="21"/>
      <c r="CJ57" s="27">
        <f t="shared" si="36"/>
        <v>0</v>
      </c>
    </row>
    <row r="58" spans="2:88" x14ac:dyDescent="0.25">
      <c r="B58" t="s">
        <v>35</v>
      </c>
      <c r="C58" s="17">
        <v>86884000</v>
      </c>
      <c r="D58" t="s">
        <v>217</v>
      </c>
      <c r="E58" t="str">
        <f t="shared" si="3"/>
        <v>Less than $350 Million</v>
      </c>
      <c r="F58">
        <f>IF(C58="", "", COUNTIF($C$6:C58,"&gt;0"))</f>
        <v>53</v>
      </c>
      <c r="G58" t="str">
        <f>IF(E58&lt;&gt;'[1]By Asset Category'!$B$1,"",COUNTIF($E$6:E58,'[1]By Asset Category'!$B$1))</f>
        <v/>
      </c>
      <c r="H58" t="s">
        <v>218</v>
      </c>
      <c r="I58" t="s">
        <v>3</v>
      </c>
      <c r="J58" t="s">
        <v>3</v>
      </c>
      <c r="K58" t="s">
        <v>3</v>
      </c>
      <c r="L58" s="33" t="s">
        <v>3</v>
      </c>
      <c r="M58" s="34">
        <v>0</v>
      </c>
      <c r="N58" s="19">
        <v>0</v>
      </c>
      <c r="O58" s="19">
        <v>0</v>
      </c>
      <c r="P58" s="19">
        <v>0</v>
      </c>
      <c r="Q58" s="19">
        <f t="shared" si="23"/>
        <v>0</v>
      </c>
      <c r="R58" s="34">
        <v>0</v>
      </c>
      <c r="S58" s="19">
        <v>0</v>
      </c>
      <c r="T58" s="19">
        <v>0</v>
      </c>
      <c r="U58" s="19">
        <v>0</v>
      </c>
      <c r="V58" s="19">
        <f t="shared" si="24"/>
        <v>0</v>
      </c>
      <c r="W58" s="26">
        <v>0</v>
      </c>
      <c r="X58" s="21">
        <v>0</v>
      </c>
      <c r="Y58" s="21">
        <v>0</v>
      </c>
      <c r="Z58" s="21"/>
      <c r="AA58" s="22">
        <f t="shared" si="25"/>
        <v>0</v>
      </c>
      <c r="AB58" s="23"/>
      <c r="AC58" s="21"/>
      <c r="AD58" s="21"/>
      <c r="AE58" s="21"/>
      <c r="AF58" s="35">
        <f t="shared" si="26"/>
        <v>0</v>
      </c>
      <c r="AG58" s="23"/>
      <c r="AH58" s="21"/>
      <c r="AI58" s="21"/>
      <c r="AJ58" s="21"/>
      <c r="AK58" s="25">
        <f t="shared" si="27"/>
        <v>0</v>
      </c>
      <c r="AL58" s="23"/>
      <c r="AM58" s="21"/>
      <c r="AN58" s="21"/>
      <c r="AO58" s="21"/>
      <c r="AP58" s="25">
        <f t="shared" si="28"/>
        <v>0</v>
      </c>
      <c r="AQ58" s="23"/>
      <c r="AR58" s="21"/>
      <c r="AS58" s="21"/>
      <c r="AT58" s="21"/>
      <c r="AU58" s="25">
        <f t="shared" si="29"/>
        <v>0</v>
      </c>
      <c r="AV58" s="23"/>
      <c r="AW58" s="21"/>
      <c r="AX58" s="21"/>
      <c r="AY58" s="21"/>
      <c r="AZ58" s="25">
        <f t="shared" si="21"/>
        <v>0</v>
      </c>
      <c r="BA58" s="23"/>
      <c r="BB58" s="21"/>
      <c r="BC58" s="21"/>
      <c r="BD58" s="21"/>
      <c r="BE58" s="25">
        <f>SUM(BA58:BD58)</f>
        <v>0</v>
      </c>
      <c r="BF58" s="23"/>
      <c r="BG58" s="21"/>
      <c r="BH58" s="21"/>
      <c r="BI58" s="21"/>
      <c r="BJ58" s="25">
        <f>SUM(BF58:BH58)</f>
        <v>0</v>
      </c>
      <c r="BK58" s="23"/>
      <c r="BL58" s="21"/>
      <c r="BM58" s="21"/>
      <c r="BN58" s="21"/>
      <c r="BO58" s="25">
        <f>SUM(BK58:BM58)</f>
        <v>0</v>
      </c>
      <c r="BP58" s="23"/>
      <c r="BQ58" s="21"/>
      <c r="BR58" s="21"/>
      <c r="BS58" s="21"/>
      <c r="BT58" s="25">
        <f t="shared" si="4"/>
        <v>0</v>
      </c>
      <c r="BU58" s="21"/>
      <c r="BV58" s="26"/>
      <c r="BW58" s="21"/>
      <c r="BX58" s="21"/>
      <c r="BY58" s="21"/>
      <c r="BZ58" s="27">
        <f t="shared" si="0"/>
        <v>0</v>
      </c>
      <c r="CA58" s="26"/>
      <c r="CB58" s="21"/>
      <c r="CC58" s="21"/>
      <c r="CD58" s="21"/>
      <c r="CE58" s="27">
        <f t="shared" si="35"/>
        <v>0</v>
      </c>
      <c r="CF58" s="26"/>
      <c r="CG58" s="21"/>
      <c r="CH58" s="21"/>
      <c r="CI58" s="21"/>
      <c r="CJ58" s="27">
        <f t="shared" si="36"/>
        <v>0</v>
      </c>
    </row>
    <row r="59" spans="2:88" x14ac:dyDescent="0.25">
      <c r="B59" t="s">
        <v>53</v>
      </c>
      <c r="C59" s="17">
        <v>1658323000</v>
      </c>
      <c r="D59" t="s">
        <v>219</v>
      </c>
      <c r="E59" t="str">
        <f t="shared" si="3"/>
        <v>$800 Million - $2 Billion</v>
      </c>
      <c r="F59">
        <f>IF(C59="", "", COUNTIF($C$6:C59,"&gt;0"))</f>
        <v>54</v>
      </c>
      <c r="G59">
        <f>IF(E59&lt;&gt;'[1]By Asset Category'!$B$1,"",COUNTIF($E$6:E59,'[1]By Asset Category'!$B$1))</f>
        <v>15</v>
      </c>
      <c r="H59" t="s">
        <v>220</v>
      </c>
      <c r="I59" t="s">
        <v>38</v>
      </c>
      <c r="J59" t="s">
        <v>221</v>
      </c>
      <c r="K59" t="s">
        <v>222</v>
      </c>
      <c r="L59" s="33" t="s">
        <v>46</v>
      </c>
      <c r="M59" s="34">
        <f>4375+10</f>
        <v>4385</v>
      </c>
      <c r="N59" s="19">
        <f>1450+3095</f>
        <v>4545</v>
      </c>
      <c r="O59" s="19">
        <v>5000</v>
      </c>
      <c r="P59" s="19"/>
      <c r="Q59" s="19">
        <f>SUM(M59:P59)</f>
        <v>13930</v>
      </c>
      <c r="R59" s="34">
        <f>155+4436</f>
        <v>4591</v>
      </c>
      <c r="S59" s="19">
        <f>1600+3680</f>
        <v>5280</v>
      </c>
      <c r="T59" s="19">
        <v>6000</v>
      </c>
      <c r="U59" s="19"/>
      <c r="V59" s="19">
        <f>SUM(R59:U59)</f>
        <v>15871</v>
      </c>
      <c r="W59" s="26">
        <f>145+4385</f>
        <v>4530</v>
      </c>
      <c r="X59" s="21">
        <f>1750+3600</f>
        <v>5350</v>
      </c>
      <c r="Y59" s="21">
        <v>5000</v>
      </c>
      <c r="Z59" s="21"/>
      <c r="AA59" s="22">
        <f>SUM(W59:Z59)</f>
        <v>14880</v>
      </c>
      <c r="AB59" s="23">
        <v>5010</v>
      </c>
      <c r="AC59" s="21">
        <v>4115</v>
      </c>
      <c r="AD59" s="21">
        <v>7500</v>
      </c>
      <c r="AE59" s="21"/>
      <c r="AF59" s="35">
        <f>SUM(AB59:AE59)</f>
        <v>16625</v>
      </c>
      <c r="AG59" s="23">
        <v>5120</v>
      </c>
      <c r="AH59" s="21">
        <v>2850</v>
      </c>
      <c r="AI59" s="21">
        <v>6000</v>
      </c>
      <c r="AJ59" s="21"/>
      <c r="AK59" s="25">
        <f>SUM(AG59:AJ59)</f>
        <v>13970</v>
      </c>
      <c r="AL59" s="23">
        <v>5100</v>
      </c>
      <c r="AM59" s="21">
        <v>2685</v>
      </c>
      <c r="AN59" s="21"/>
      <c r="AO59" s="21"/>
      <c r="AP59" s="25">
        <f>SUM(AL59:AO59)</f>
        <v>7785</v>
      </c>
      <c r="AQ59" s="23">
        <v>4445</v>
      </c>
      <c r="AR59" s="21">
        <v>2600</v>
      </c>
      <c r="AS59" s="21">
        <v>7500</v>
      </c>
      <c r="AT59" s="21"/>
      <c r="AU59" s="25">
        <f>SUM(AQ59:AT59)</f>
        <v>14545</v>
      </c>
      <c r="AV59" s="23">
        <v>3770</v>
      </c>
      <c r="AW59" s="21">
        <v>2425</v>
      </c>
      <c r="AX59" s="21"/>
      <c r="AY59" s="21"/>
      <c r="AZ59" s="25">
        <f>SUM(AV59:AY59)</f>
        <v>6195</v>
      </c>
      <c r="BA59" s="23">
        <v>3765</v>
      </c>
      <c r="BB59" s="21">
        <v>2350</v>
      </c>
      <c r="BC59" s="21">
        <v>5000</v>
      </c>
      <c r="BD59" s="21"/>
      <c r="BE59" s="25">
        <f>SUM(BA59:BD59)</f>
        <v>11115</v>
      </c>
      <c r="BF59" s="23">
        <v>4520</v>
      </c>
      <c r="BG59" s="21">
        <v>2175</v>
      </c>
      <c r="BH59" s="21"/>
      <c r="BI59" s="21"/>
      <c r="BJ59" s="25">
        <f>SUM(BF59:BI59)</f>
        <v>6695</v>
      </c>
      <c r="BK59" s="23">
        <v>5530</v>
      </c>
      <c r="BL59" s="21">
        <v>2125</v>
      </c>
      <c r="BM59" s="21">
        <v>2500</v>
      </c>
      <c r="BN59" s="21"/>
      <c r="BO59" s="25">
        <f>SUM(BK59:BN59)</f>
        <v>10155</v>
      </c>
      <c r="BP59" s="23"/>
      <c r="BQ59" s="21"/>
      <c r="BR59" s="21"/>
      <c r="BS59" s="21"/>
      <c r="BT59" s="25">
        <f t="shared" si="4"/>
        <v>0</v>
      </c>
      <c r="BU59" s="21"/>
      <c r="BV59" s="26">
        <v>3830</v>
      </c>
      <c r="BW59" s="21">
        <v>3000</v>
      </c>
      <c r="BX59" s="21">
        <v>2500</v>
      </c>
      <c r="BY59" s="21"/>
      <c r="BZ59" s="27">
        <f t="shared" si="0"/>
        <v>9330</v>
      </c>
      <c r="CA59" s="26">
        <v>3450</v>
      </c>
      <c r="CB59" s="21">
        <v>2400</v>
      </c>
      <c r="CC59" s="21">
        <v>3000</v>
      </c>
      <c r="CD59" s="21"/>
      <c r="CE59" s="27">
        <f t="shared" si="35"/>
        <v>8850</v>
      </c>
      <c r="CF59" s="26">
        <v>3450</v>
      </c>
      <c r="CG59" s="21">
        <v>2400</v>
      </c>
      <c r="CH59" s="21">
        <v>3000</v>
      </c>
      <c r="CI59" s="21"/>
      <c r="CJ59" s="27">
        <f t="shared" si="36"/>
        <v>8850</v>
      </c>
    </row>
    <row r="60" spans="2:88" x14ac:dyDescent="0.25">
      <c r="B60" t="s">
        <v>58</v>
      </c>
      <c r="C60" s="17">
        <v>653304000</v>
      </c>
      <c r="D60" t="s">
        <v>223</v>
      </c>
      <c r="E60" t="str">
        <f t="shared" si="3"/>
        <v>$350 Million - $800 Million</v>
      </c>
      <c r="F60">
        <f>IF(C60="", "", COUNTIF($C$6:C60,"&gt;0"))</f>
        <v>55</v>
      </c>
      <c r="G60" t="str">
        <f>IF(E60&lt;&gt;'[1]By Asset Category'!$B$1,"",COUNTIF($E$6:E60,'[1]By Asset Category'!$B$1))</f>
        <v/>
      </c>
      <c r="H60" t="s">
        <v>224</v>
      </c>
      <c r="I60" t="s">
        <v>38</v>
      </c>
      <c r="J60" t="s">
        <v>225</v>
      </c>
      <c r="K60" t="s">
        <v>226</v>
      </c>
      <c r="L60" s="33"/>
      <c r="M60" s="34"/>
      <c r="N60" s="19"/>
      <c r="O60" s="19"/>
      <c r="P60" s="19"/>
      <c r="Q60" s="19"/>
      <c r="R60" s="34"/>
      <c r="S60" s="19"/>
      <c r="T60" s="19"/>
      <c r="U60" s="19"/>
      <c r="V60" s="19"/>
      <c r="W60" s="26"/>
      <c r="X60" s="21"/>
      <c r="Y60" s="21"/>
      <c r="Z60" s="21"/>
      <c r="AA60" s="22"/>
      <c r="AB60" s="23"/>
      <c r="AC60" s="21"/>
      <c r="AD60" s="21"/>
      <c r="AE60" s="21"/>
      <c r="AF60" s="35"/>
      <c r="AG60" s="23"/>
      <c r="AH60" s="21"/>
      <c r="AI60" s="21"/>
      <c r="AJ60" s="21"/>
      <c r="AK60" s="25"/>
      <c r="AL60" s="23"/>
      <c r="AM60" s="21"/>
      <c r="AN60" s="21"/>
      <c r="AO60" s="21"/>
      <c r="AP60" s="25"/>
      <c r="AQ60" s="23"/>
      <c r="AR60" s="21"/>
      <c r="AS60" s="21"/>
      <c r="AT60" s="21"/>
      <c r="AU60" s="25"/>
      <c r="AV60" s="23"/>
      <c r="AW60" s="21"/>
      <c r="AX60" s="21"/>
      <c r="AY60" s="21"/>
      <c r="AZ60" s="25"/>
      <c r="BA60" s="23"/>
      <c r="BB60" s="21"/>
      <c r="BC60" s="21"/>
      <c r="BD60" s="21"/>
      <c r="BE60" s="25"/>
      <c r="BF60" s="23"/>
      <c r="BG60" s="21"/>
      <c r="BH60" s="21"/>
      <c r="BI60" s="21"/>
      <c r="BJ60" s="25"/>
      <c r="BK60" s="23"/>
      <c r="BL60" s="21"/>
      <c r="BM60" s="21"/>
      <c r="BN60" s="21"/>
      <c r="BO60" s="25"/>
      <c r="BP60" s="23"/>
      <c r="BQ60" s="21"/>
      <c r="BR60" s="21"/>
      <c r="BS60" s="21"/>
      <c r="BT60" s="25">
        <f t="shared" si="4"/>
        <v>0</v>
      </c>
      <c r="BU60" s="21"/>
      <c r="BV60" s="26">
        <v>1650</v>
      </c>
      <c r="BW60" s="21"/>
      <c r="BX60" s="21"/>
      <c r="BY60" s="21"/>
      <c r="BZ60" s="27">
        <f t="shared" si="0"/>
        <v>1650</v>
      </c>
      <c r="CA60" s="26">
        <v>1850</v>
      </c>
      <c r="CB60" s="21"/>
      <c r="CC60" s="21"/>
      <c r="CD60" s="21"/>
      <c r="CE60" s="27">
        <f t="shared" si="35"/>
        <v>1850</v>
      </c>
      <c r="CF60" s="26">
        <v>1850</v>
      </c>
      <c r="CG60" s="21"/>
      <c r="CH60" s="21"/>
      <c r="CI60" s="21"/>
      <c r="CJ60" s="27">
        <f t="shared" si="36"/>
        <v>1850</v>
      </c>
    </row>
    <row r="61" spans="2:88" x14ac:dyDescent="0.25">
      <c r="B61" t="s">
        <v>41</v>
      </c>
      <c r="C61" s="17">
        <v>126056000</v>
      </c>
      <c r="D61" t="s">
        <v>227</v>
      </c>
      <c r="E61" t="str">
        <f t="shared" si="3"/>
        <v>Less than $350 Million</v>
      </c>
      <c r="F61">
        <f>IF(C61="", "", COUNTIF($C$6:C61,"&gt;0"))</f>
        <v>56</v>
      </c>
      <c r="G61" t="str">
        <f>IF(E61&lt;&gt;'[1]By Asset Category'!$B$1,"",COUNTIF($E$6:E61,'[1]By Asset Category'!$B$1))</f>
        <v/>
      </c>
      <c r="H61" s="30" t="s">
        <v>228</v>
      </c>
      <c r="I61" t="s">
        <v>38</v>
      </c>
      <c r="L61" s="33"/>
      <c r="M61" s="34">
        <v>0</v>
      </c>
      <c r="N61" s="19">
        <v>0</v>
      </c>
      <c r="O61" s="19">
        <v>0</v>
      </c>
      <c r="P61" s="19">
        <v>0</v>
      </c>
      <c r="Q61" s="19">
        <f>SUM(M61:P61)</f>
        <v>0</v>
      </c>
      <c r="R61" s="34">
        <v>0</v>
      </c>
      <c r="S61" s="19">
        <v>0</v>
      </c>
      <c r="T61" s="19">
        <v>0</v>
      </c>
      <c r="U61" s="19">
        <v>0</v>
      </c>
      <c r="V61" s="19">
        <f>SUM(R61:U61)</f>
        <v>0</v>
      </c>
      <c r="W61" s="26">
        <v>0</v>
      </c>
      <c r="X61" s="21">
        <v>0</v>
      </c>
      <c r="Y61" s="21">
        <v>0</v>
      </c>
      <c r="Z61" s="21"/>
      <c r="AA61" s="22">
        <f>SUM(W61:Z61)</f>
        <v>0</v>
      </c>
      <c r="AB61" s="23"/>
      <c r="AC61" s="21"/>
      <c r="AD61" s="21"/>
      <c r="AE61" s="21"/>
      <c r="AF61" s="35">
        <f>SUM(AB61:AE61)</f>
        <v>0</v>
      </c>
      <c r="AG61" s="23"/>
      <c r="AH61" s="21"/>
      <c r="AI61" s="21"/>
      <c r="AJ61" s="21"/>
      <c r="AK61" s="25">
        <f>SUM(AG61:AJ61)</f>
        <v>0</v>
      </c>
      <c r="AL61" s="23"/>
      <c r="AM61" s="21"/>
      <c r="AN61" s="21"/>
      <c r="AO61" s="21"/>
      <c r="AP61" s="25">
        <f>SUM(AL61:AO61)</f>
        <v>0</v>
      </c>
      <c r="AQ61" s="23"/>
      <c r="AR61" s="21"/>
      <c r="AS61" s="21"/>
      <c r="AT61" s="21"/>
      <c r="AU61" s="25">
        <f>SUM(AQ61:AT61)</f>
        <v>0</v>
      </c>
      <c r="AV61" s="23"/>
      <c r="AW61" s="21"/>
      <c r="AX61" s="21"/>
      <c r="AY61" s="21"/>
      <c r="AZ61" s="25">
        <f>SUM(AV61:AY61)</f>
        <v>0</v>
      </c>
      <c r="BA61" s="23"/>
      <c r="BB61" s="21"/>
      <c r="BC61" s="21"/>
      <c r="BD61" s="21"/>
      <c r="BE61" s="25">
        <f>SUM(BA61:BD61)</f>
        <v>0</v>
      </c>
      <c r="BF61" s="23"/>
      <c r="BG61" s="21"/>
      <c r="BH61" s="21"/>
      <c r="BI61" s="21"/>
      <c r="BJ61" s="25">
        <f>SUM(BF61:BI61)</f>
        <v>0</v>
      </c>
      <c r="BK61" s="23"/>
      <c r="BL61" s="21"/>
      <c r="BM61" s="21"/>
      <c r="BN61" s="21"/>
      <c r="BO61" s="25">
        <f>SUM(BK61:BN61)</f>
        <v>0</v>
      </c>
      <c r="BP61" s="23"/>
      <c r="BQ61" s="21"/>
      <c r="BR61" s="21">
        <v>500</v>
      </c>
      <c r="BS61" s="21"/>
      <c r="BT61" s="25">
        <f t="shared" si="4"/>
        <v>500</v>
      </c>
      <c r="BU61" s="21"/>
      <c r="BV61" s="26"/>
      <c r="BW61" s="21"/>
      <c r="BX61" s="21"/>
      <c r="BY61" s="21"/>
      <c r="BZ61" s="27">
        <f t="shared" si="0"/>
        <v>0</v>
      </c>
      <c r="CA61" s="26">
        <v>500</v>
      </c>
      <c r="CB61" s="21"/>
      <c r="CC61" s="21"/>
      <c r="CD61" s="21"/>
      <c r="CE61" s="27">
        <f t="shared" si="35"/>
        <v>500</v>
      </c>
      <c r="CF61" s="26">
        <v>500</v>
      </c>
      <c r="CG61" s="21"/>
      <c r="CH61" s="21"/>
      <c r="CI61" s="21"/>
      <c r="CJ61" s="27">
        <f t="shared" si="36"/>
        <v>500</v>
      </c>
    </row>
    <row r="62" spans="2:88" x14ac:dyDescent="0.25">
      <c r="B62" t="s">
        <v>53</v>
      </c>
      <c r="C62" s="17">
        <v>796525000</v>
      </c>
      <c r="D62" t="s">
        <v>229</v>
      </c>
      <c r="E62" t="str">
        <f t="shared" si="3"/>
        <v>$350 Million - $800 Million</v>
      </c>
      <c r="F62">
        <f>IF(C62="", "", COUNTIF($C$6:C62,"&gt;0"))</f>
        <v>57</v>
      </c>
      <c r="G62" t="str">
        <f>IF(E62&lt;&gt;'[1]By Asset Category'!$B$1,"",COUNTIF($E$6:E62,'[1]By Asset Category'!$B$1))</f>
        <v/>
      </c>
      <c r="H62" t="s">
        <v>230</v>
      </c>
      <c r="I62" t="s">
        <v>38</v>
      </c>
      <c r="J62" t="s">
        <v>231</v>
      </c>
      <c r="K62" t="s">
        <v>232</v>
      </c>
      <c r="L62" s="33"/>
      <c r="M62" s="34">
        <v>0</v>
      </c>
      <c r="N62" s="19">
        <v>0</v>
      </c>
      <c r="O62" s="19">
        <v>0</v>
      </c>
      <c r="P62" s="19">
        <v>0</v>
      </c>
      <c r="Q62" s="19">
        <f>SUM(M62:P62)</f>
        <v>0</v>
      </c>
      <c r="R62" s="34">
        <v>0</v>
      </c>
      <c r="S62" s="19">
        <v>0</v>
      </c>
      <c r="T62" s="19">
        <v>0</v>
      </c>
      <c r="U62" s="19">
        <v>0</v>
      </c>
      <c r="V62" s="19">
        <f>SUM(R62:U62)</f>
        <v>0</v>
      </c>
      <c r="W62" s="26">
        <v>0</v>
      </c>
      <c r="X62" s="21">
        <v>0</v>
      </c>
      <c r="Y62" s="21">
        <v>0</v>
      </c>
      <c r="Z62" s="21"/>
      <c r="AA62" s="22">
        <f>SUM(W62:Z62)</f>
        <v>0</v>
      </c>
      <c r="AB62" s="23"/>
      <c r="AC62" s="21"/>
      <c r="AD62" s="21"/>
      <c r="AE62" s="21"/>
      <c r="AF62" s="35">
        <f>SUM(AB62:AE62)</f>
        <v>0</v>
      </c>
      <c r="AG62" s="23"/>
      <c r="AH62" s="21"/>
      <c r="AI62" s="21"/>
      <c r="AJ62" s="21"/>
      <c r="AK62" s="25">
        <f>SUM(AG62:AJ62)</f>
        <v>0</v>
      </c>
      <c r="AL62" s="23"/>
      <c r="AM62" s="21"/>
      <c r="AN62" s="21"/>
      <c r="AO62" s="21"/>
      <c r="AP62" s="25">
        <f>SUM(AL62:AO62)</f>
        <v>0</v>
      </c>
      <c r="AQ62" s="23"/>
      <c r="AR62" s="21"/>
      <c r="AS62" s="21"/>
      <c r="AT62" s="21"/>
      <c r="AU62" s="25">
        <f>SUM(AQ62:AT62)</f>
        <v>0</v>
      </c>
      <c r="AV62" s="23"/>
      <c r="AW62" s="21"/>
      <c r="AX62" s="21"/>
      <c r="AY62" s="21"/>
      <c r="AZ62" s="25">
        <f>SUM(AV62:AY62)</f>
        <v>0</v>
      </c>
      <c r="BA62" s="23"/>
      <c r="BB62" s="21"/>
      <c r="BC62" s="21"/>
      <c r="BD62" s="21"/>
      <c r="BE62" s="25">
        <f>SUM(BA62:BD62)</f>
        <v>0</v>
      </c>
      <c r="BF62" s="23"/>
      <c r="BG62" s="21"/>
      <c r="BH62" s="21"/>
      <c r="BI62" s="21"/>
      <c r="BJ62" s="25">
        <f>SUM(BF62:BI62)</f>
        <v>0</v>
      </c>
      <c r="BK62" s="23"/>
      <c r="BL62" s="21"/>
      <c r="BM62" s="21"/>
      <c r="BN62" s="21"/>
      <c r="BO62" s="25">
        <f>SUM(BK62:BN62)</f>
        <v>0</v>
      </c>
      <c r="BP62" s="23"/>
      <c r="BQ62" s="21"/>
      <c r="BR62" s="21"/>
      <c r="BS62" s="21"/>
      <c r="BT62" s="25">
        <f t="shared" si="4"/>
        <v>0</v>
      </c>
      <c r="BU62" s="21"/>
      <c r="BV62" s="26"/>
      <c r="BW62" s="21"/>
      <c r="BX62" s="21">
        <v>1000</v>
      </c>
      <c r="BY62" s="21"/>
      <c r="BZ62" s="27">
        <f t="shared" si="0"/>
        <v>1000</v>
      </c>
      <c r="CA62" s="26"/>
      <c r="CB62" s="21"/>
      <c r="CC62" s="21">
        <v>1000</v>
      </c>
      <c r="CD62" s="21"/>
      <c r="CE62" s="27">
        <f t="shared" si="35"/>
        <v>1000</v>
      </c>
      <c r="CF62" s="26"/>
      <c r="CG62" s="21"/>
      <c r="CH62" s="21">
        <v>1000</v>
      </c>
      <c r="CI62" s="21"/>
      <c r="CJ62" s="27">
        <f t="shared" si="36"/>
        <v>1000</v>
      </c>
    </row>
    <row r="63" spans="2:88" x14ac:dyDescent="0.25">
      <c r="B63" t="s">
        <v>58</v>
      </c>
      <c r="C63" s="17">
        <v>313736000</v>
      </c>
      <c r="D63" t="s">
        <v>233</v>
      </c>
      <c r="E63" t="str">
        <f t="shared" si="3"/>
        <v>Less than $350 Million</v>
      </c>
      <c r="F63">
        <f>IF(C63="", "", COUNTIF($C$6:C63,"&gt;0"))</f>
        <v>58</v>
      </c>
      <c r="G63" t="str">
        <f>IF(E63&lt;&gt;'[1]By Asset Category'!$B$1,"",COUNTIF($E$6:E63,'[1]By Asset Category'!$B$1))</f>
        <v/>
      </c>
      <c r="H63" t="s">
        <v>234</v>
      </c>
      <c r="I63" t="s">
        <v>235</v>
      </c>
      <c r="J63" t="s">
        <v>236</v>
      </c>
      <c r="K63" t="s">
        <v>237</v>
      </c>
      <c r="L63" s="33"/>
      <c r="M63" s="34">
        <v>0</v>
      </c>
      <c r="N63" s="19">
        <v>0</v>
      </c>
      <c r="O63" s="19">
        <v>0</v>
      </c>
      <c r="P63" s="19">
        <v>0</v>
      </c>
      <c r="Q63" s="19">
        <f>SUM(M63:P63)</f>
        <v>0</v>
      </c>
      <c r="R63" s="34">
        <v>0</v>
      </c>
      <c r="S63" s="19">
        <v>0</v>
      </c>
      <c r="T63" s="19">
        <v>0</v>
      </c>
      <c r="U63" s="19">
        <v>0</v>
      </c>
      <c r="V63" s="19">
        <f>SUM(R63:U63)</f>
        <v>0</v>
      </c>
      <c r="W63" s="26">
        <v>0</v>
      </c>
      <c r="X63" s="21">
        <v>0</v>
      </c>
      <c r="Y63" s="21">
        <v>0</v>
      </c>
      <c r="Z63" s="21"/>
      <c r="AA63" s="22">
        <f>SUM(W63:Z63)</f>
        <v>0</v>
      </c>
      <c r="AB63" s="23"/>
      <c r="AC63" s="21"/>
      <c r="AD63" s="21"/>
      <c r="AE63" s="21"/>
      <c r="AF63" s="35">
        <f>SUM(AB63:AE63)</f>
        <v>0</v>
      </c>
      <c r="AG63" s="23"/>
      <c r="AH63" s="21"/>
      <c r="AI63" s="21"/>
      <c r="AJ63" s="21"/>
      <c r="AK63" s="25">
        <f>SUM(AG63:AJ63)</f>
        <v>0</v>
      </c>
      <c r="AL63" s="23"/>
      <c r="AM63" s="21"/>
      <c r="AN63" s="21"/>
      <c r="AO63" s="21"/>
      <c r="AP63" s="25">
        <f>SUM(AL63:AO63)</f>
        <v>0</v>
      </c>
      <c r="AQ63" s="23"/>
      <c r="AR63" s="21"/>
      <c r="AS63" s="21"/>
      <c r="AT63" s="21"/>
      <c r="AU63" s="25">
        <f>SUM(AQ63:AT63)</f>
        <v>0</v>
      </c>
      <c r="AV63" s="23"/>
      <c r="AW63" s="21"/>
      <c r="AX63" s="21"/>
      <c r="AY63" s="21"/>
      <c r="AZ63" s="25">
        <f>SUM(AV63:AY63)</f>
        <v>0</v>
      </c>
      <c r="BA63" s="23"/>
      <c r="BB63" s="21"/>
      <c r="BC63" s="21"/>
      <c r="BD63" s="21"/>
      <c r="BE63" s="25">
        <f>SUM(BA63:BD63)</f>
        <v>0</v>
      </c>
      <c r="BF63" s="23"/>
      <c r="BG63" s="21"/>
      <c r="BH63" s="21"/>
      <c r="BI63" s="21"/>
      <c r="BJ63" s="25">
        <f>SUM(BF63:BI63)</f>
        <v>0</v>
      </c>
      <c r="BK63" s="23"/>
      <c r="BL63" s="21"/>
      <c r="BM63" s="21"/>
      <c r="BN63" s="21"/>
      <c r="BO63" s="25">
        <f>SUM(BK63:BN63)</f>
        <v>0</v>
      </c>
      <c r="BP63" s="23"/>
      <c r="BQ63" s="21"/>
      <c r="BR63" s="21"/>
      <c r="BS63" s="21"/>
      <c r="BT63" s="25">
        <f t="shared" si="4"/>
        <v>0</v>
      </c>
      <c r="BU63" s="21"/>
      <c r="BV63" s="26"/>
      <c r="BW63" s="21"/>
      <c r="BX63" s="21"/>
      <c r="BY63" s="21"/>
      <c r="BZ63" s="27">
        <f t="shared" si="0"/>
        <v>0</v>
      </c>
      <c r="CA63" s="26"/>
      <c r="CB63" s="21"/>
      <c r="CC63" s="21"/>
      <c r="CD63" s="21"/>
      <c r="CE63" s="27">
        <f t="shared" si="35"/>
        <v>0</v>
      </c>
      <c r="CF63" s="26"/>
      <c r="CG63" s="21"/>
      <c r="CH63" s="21"/>
      <c r="CI63" s="21"/>
      <c r="CJ63" s="27">
        <f t="shared" si="36"/>
        <v>0</v>
      </c>
    </row>
    <row r="64" spans="2:88" x14ac:dyDescent="0.25">
      <c r="B64" t="s">
        <v>58</v>
      </c>
      <c r="C64" s="17">
        <v>827524000</v>
      </c>
      <c r="D64" t="s">
        <v>238</v>
      </c>
      <c r="E64" t="str">
        <f t="shared" si="3"/>
        <v>$800 Million - $2 Billion</v>
      </c>
      <c r="F64">
        <f>IF(C64="", "", COUNTIF($C$6:C64,"&gt;0"))</f>
        <v>59</v>
      </c>
      <c r="G64">
        <f>IF(E64&lt;&gt;'[1]By Asset Category'!$B$1,"",COUNTIF($E$6:E64,'[1]By Asset Category'!$B$1))</f>
        <v>16</v>
      </c>
      <c r="H64" t="s">
        <v>239</v>
      </c>
      <c r="I64" t="s">
        <v>240</v>
      </c>
      <c r="J64" t="s">
        <v>241</v>
      </c>
      <c r="K64" t="s">
        <v>242</v>
      </c>
      <c r="L64" s="33"/>
      <c r="M64" s="34">
        <v>0</v>
      </c>
      <c r="N64" s="19">
        <v>0</v>
      </c>
      <c r="O64" s="19">
        <v>250</v>
      </c>
      <c r="P64" s="19"/>
      <c r="Q64" s="19">
        <f>SUM(M64:P64)</f>
        <v>250</v>
      </c>
      <c r="R64" s="34">
        <v>0</v>
      </c>
      <c r="S64" s="19">
        <v>0</v>
      </c>
      <c r="T64" s="19">
        <v>250</v>
      </c>
      <c r="U64" s="19"/>
      <c r="V64" s="19">
        <f>SUM(R64:U64)</f>
        <v>250</v>
      </c>
      <c r="W64" s="26">
        <v>0</v>
      </c>
      <c r="X64" s="21">
        <v>0</v>
      </c>
      <c r="Y64" s="21">
        <v>0</v>
      </c>
      <c r="Z64" s="21"/>
      <c r="AA64" s="22">
        <f>SUM(W64:Z64)</f>
        <v>0</v>
      </c>
      <c r="AB64" s="23"/>
      <c r="AC64" s="21"/>
      <c r="AD64" s="21"/>
      <c r="AE64" s="21"/>
      <c r="AF64" s="35">
        <f>SUM(AB64:AE64)</f>
        <v>0</v>
      </c>
      <c r="AG64" s="23">
        <v>250</v>
      </c>
      <c r="AH64" s="21"/>
      <c r="AI64" s="21"/>
      <c r="AJ64" s="21"/>
      <c r="AK64" s="25">
        <f>SUM(AG64:AJ64)</f>
        <v>250</v>
      </c>
      <c r="AL64" s="23"/>
      <c r="AM64" s="21"/>
      <c r="AN64" s="21"/>
      <c r="AO64" s="21"/>
      <c r="AP64" s="25">
        <f>SUM(AL64:AO64)</f>
        <v>0</v>
      </c>
      <c r="AQ64" s="23"/>
      <c r="AR64" s="21"/>
      <c r="AS64" s="21"/>
      <c r="AT64" s="21"/>
      <c r="AU64" s="25">
        <f>SUM(AQ64:AT64)</f>
        <v>0</v>
      </c>
      <c r="AV64" s="23"/>
      <c r="AW64" s="21"/>
      <c r="AX64" s="21"/>
      <c r="AY64" s="21"/>
      <c r="AZ64" s="25">
        <f>SUM(AV64:AY64)</f>
        <v>0</v>
      </c>
      <c r="BA64" s="23"/>
      <c r="BB64" s="21"/>
      <c r="BC64" s="21"/>
      <c r="BD64" s="21"/>
      <c r="BE64" s="25">
        <f>SUM(BA64:BD64)</f>
        <v>0</v>
      </c>
      <c r="BF64" s="23"/>
      <c r="BG64" s="21"/>
      <c r="BH64" s="21"/>
      <c r="BI64" s="21"/>
      <c r="BJ64" s="25">
        <f>SUM(BF64:BH64)</f>
        <v>0</v>
      </c>
      <c r="BK64" s="23"/>
      <c r="BL64" s="21"/>
      <c r="BM64" s="21"/>
      <c r="BN64" s="21"/>
      <c r="BO64" s="25">
        <f>SUM(BK64:BM64)</f>
        <v>0</v>
      </c>
      <c r="BP64" s="23">
        <v>9175</v>
      </c>
      <c r="BQ64" s="21">
        <v>9800</v>
      </c>
      <c r="BR64" s="21"/>
      <c r="BS64" s="21"/>
      <c r="BT64" s="25">
        <f t="shared" si="4"/>
        <v>18975</v>
      </c>
      <c r="BU64" s="21">
        <v>1518.75</v>
      </c>
      <c r="BV64" s="26"/>
      <c r="BW64" s="21"/>
      <c r="BX64" s="21"/>
      <c r="BY64" s="21"/>
      <c r="BZ64" s="27">
        <f t="shared" si="0"/>
        <v>0</v>
      </c>
      <c r="CA64" s="26"/>
      <c r="CB64" s="21"/>
      <c r="CC64" s="21"/>
      <c r="CD64" s="21"/>
      <c r="CE64" s="27">
        <f t="shared" si="35"/>
        <v>0</v>
      </c>
      <c r="CF64" s="26"/>
      <c r="CG64" s="21"/>
      <c r="CH64" s="21"/>
      <c r="CI64" s="21"/>
      <c r="CJ64" s="27">
        <f t="shared" si="36"/>
        <v>0</v>
      </c>
    </row>
    <row r="65" spans="2:88" x14ac:dyDescent="0.25">
      <c r="B65" t="s">
        <v>41</v>
      </c>
      <c r="C65" s="17">
        <v>1267532000</v>
      </c>
      <c r="D65" t="s">
        <v>243</v>
      </c>
      <c r="E65" t="str">
        <f t="shared" si="3"/>
        <v>$800 Million - $2 Billion</v>
      </c>
      <c r="F65">
        <f>IF(C65="", "", COUNTIF($C$6:C65,"&gt;0"))</f>
        <v>60</v>
      </c>
      <c r="G65">
        <f>IF(E65&lt;&gt;'[1]By Asset Category'!$B$1,"",COUNTIF($E$6:E65,'[1]By Asset Category'!$B$1))</f>
        <v>17</v>
      </c>
      <c r="H65" t="s">
        <v>244</v>
      </c>
      <c r="I65" t="s">
        <v>38</v>
      </c>
      <c r="J65" t="s">
        <v>245</v>
      </c>
      <c r="K65" t="s">
        <v>246</v>
      </c>
      <c r="L65" s="33" t="s">
        <v>46</v>
      </c>
      <c r="M65" s="34">
        <v>3110</v>
      </c>
      <c r="N65" s="19">
        <v>2500</v>
      </c>
      <c r="O65" s="19">
        <v>0</v>
      </c>
      <c r="P65" s="19"/>
      <c r="Q65" s="19">
        <f>SUM(M65:P65)</f>
        <v>5610</v>
      </c>
      <c r="R65" s="34">
        <v>3950</v>
      </c>
      <c r="S65" s="19">
        <v>2900</v>
      </c>
      <c r="T65" s="19"/>
      <c r="U65" s="19"/>
      <c r="V65" s="19">
        <f>SUM(R65:U65)</f>
        <v>6850</v>
      </c>
      <c r="W65" s="26">
        <v>4960</v>
      </c>
      <c r="X65" s="21">
        <v>3800</v>
      </c>
      <c r="Y65" s="21">
        <v>0</v>
      </c>
      <c r="Z65" s="21"/>
      <c r="AA65" s="22">
        <f>SUM(W65:Z65)</f>
        <v>8760</v>
      </c>
      <c r="AB65" s="23">
        <v>7220</v>
      </c>
      <c r="AC65" s="21">
        <v>4050</v>
      </c>
      <c r="AD65" s="21"/>
      <c r="AE65" s="21"/>
      <c r="AF65" s="35">
        <f>SUM(AB65:AE65)</f>
        <v>11270</v>
      </c>
      <c r="AG65" s="23">
        <v>7150</v>
      </c>
      <c r="AH65" s="21">
        <v>4850</v>
      </c>
      <c r="AI65" s="21"/>
      <c r="AJ65" s="21"/>
      <c r="AK65" s="25">
        <f>SUM(AG65:AJ65)</f>
        <v>12000</v>
      </c>
      <c r="AL65" s="23">
        <v>7400</v>
      </c>
      <c r="AM65" s="21">
        <v>4650</v>
      </c>
      <c r="AN65" s="21"/>
      <c r="AO65" s="21"/>
      <c r="AP65" s="25">
        <f>SUM(AL65:AO65)</f>
        <v>12050</v>
      </c>
      <c r="AQ65" s="23">
        <v>8023</v>
      </c>
      <c r="AR65" s="21">
        <v>6400</v>
      </c>
      <c r="AS65" s="21"/>
      <c r="AT65" s="21"/>
      <c r="AU65" s="25">
        <f>SUM(AQ65:AT65)</f>
        <v>14423</v>
      </c>
      <c r="AV65" s="23">
        <v>9250</v>
      </c>
      <c r="AW65" s="21">
        <v>5925</v>
      </c>
      <c r="AX65" s="21"/>
      <c r="AY65" s="21"/>
      <c r="AZ65" s="25">
        <f>SUM(AV65:AY65)</f>
        <v>15175</v>
      </c>
      <c r="BA65" s="23">
        <v>9028</v>
      </c>
      <c r="BB65" s="21">
        <v>8275</v>
      </c>
      <c r="BC65" s="21"/>
      <c r="BD65" s="21"/>
      <c r="BE65" s="25">
        <f>SUM(BA65:BD65)</f>
        <v>17303</v>
      </c>
      <c r="BF65" s="23">
        <v>7597</v>
      </c>
      <c r="BG65" s="21">
        <v>9850</v>
      </c>
      <c r="BH65" s="21"/>
      <c r="BI65" s="21"/>
      <c r="BJ65" s="25">
        <f>SUM(BF65:BI65)</f>
        <v>17447</v>
      </c>
      <c r="BK65" s="23">
        <v>8302.5</v>
      </c>
      <c r="BL65" s="21">
        <v>11050</v>
      </c>
      <c r="BM65" s="21"/>
      <c r="BN65" s="21"/>
      <c r="BO65" s="25">
        <f>SUM(BK65:BN65)</f>
        <v>19352.5</v>
      </c>
      <c r="BP65" s="23"/>
      <c r="BQ65" s="21"/>
      <c r="BR65" s="21"/>
      <c r="BS65" s="21"/>
      <c r="BT65" s="25">
        <f t="shared" si="4"/>
        <v>0</v>
      </c>
      <c r="BU65" s="21"/>
      <c r="BV65" s="26">
        <v>3796.97</v>
      </c>
      <c r="BW65" s="21">
        <v>10750</v>
      </c>
      <c r="BX65" s="21"/>
      <c r="BY65" s="21"/>
      <c r="BZ65" s="27">
        <f t="shared" si="0"/>
        <v>14546.97</v>
      </c>
      <c r="CA65" s="26">
        <v>13673.65</v>
      </c>
      <c r="CB65" s="21">
        <v>8600</v>
      </c>
      <c r="CC65" s="21">
        <v>0</v>
      </c>
      <c r="CD65" s="21"/>
      <c r="CE65" s="27">
        <f t="shared" si="35"/>
        <v>22273.65</v>
      </c>
      <c r="CF65" s="26">
        <v>13673.65</v>
      </c>
      <c r="CG65" s="21">
        <v>8600</v>
      </c>
      <c r="CH65" s="21">
        <v>0</v>
      </c>
      <c r="CI65" s="21"/>
      <c r="CJ65" s="27">
        <f t="shared" si="36"/>
        <v>22273.65</v>
      </c>
    </row>
    <row r="66" spans="2:88" x14ac:dyDescent="0.25">
      <c r="B66" t="s">
        <v>58</v>
      </c>
      <c r="C66" s="17">
        <v>619914000</v>
      </c>
      <c r="D66" t="s">
        <v>247</v>
      </c>
      <c r="E66" t="str">
        <f t="shared" si="3"/>
        <v>$350 Million - $800 Million</v>
      </c>
      <c r="F66">
        <f>IF(C66="", "", COUNTIF($C$6:C66,"&gt;0"))</f>
        <v>61</v>
      </c>
      <c r="G66" t="str">
        <f>IF(E66&lt;&gt;'[1]By Asset Category'!$B$1,"",COUNTIF($E$6:E66,'[1]By Asset Category'!$B$1))</f>
        <v/>
      </c>
      <c r="H66" t="s">
        <v>248</v>
      </c>
      <c r="L66" s="33"/>
      <c r="M66" s="34"/>
      <c r="N66" s="19"/>
      <c r="O66" s="19"/>
      <c r="P66" s="19"/>
      <c r="Q66" s="19"/>
      <c r="R66" s="34"/>
      <c r="S66" s="19"/>
      <c r="T66" s="19"/>
      <c r="U66" s="19"/>
      <c r="V66" s="19"/>
      <c r="W66" s="26"/>
      <c r="X66" s="21"/>
      <c r="Y66" s="21"/>
      <c r="Z66" s="21"/>
      <c r="AA66" s="22"/>
      <c r="AB66" s="23"/>
      <c r="AC66" s="21"/>
      <c r="AD66" s="21"/>
      <c r="AE66" s="21"/>
      <c r="AF66" s="35"/>
      <c r="AG66" s="23"/>
      <c r="AH66" s="21"/>
      <c r="AI66" s="21"/>
      <c r="AJ66" s="21"/>
      <c r="AK66" s="25"/>
      <c r="AL66" s="23"/>
      <c r="AM66" s="21"/>
      <c r="AN66" s="21"/>
      <c r="AO66" s="21"/>
      <c r="AP66" s="25"/>
      <c r="AQ66" s="23"/>
      <c r="AR66" s="21"/>
      <c r="AS66" s="21"/>
      <c r="AT66" s="21"/>
      <c r="AU66" s="25"/>
      <c r="AV66" s="23"/>
      <c r="AW66" s="21"/>
      <c r="AX66" s="21"/>
      <c r="AY66" s="21"/>
      <c r="AZ66" s="25"/>
      <c r="BA66" s="23"/>
      <c r="BB66" s="21"/>
      <c r="BC66" s="21"/>
      <c r="BD66" s="21"/>
      <c r="BE66" s="25"/>
      <c r="BF66" s="23"/>
      <c r="BG66" s="21"/>
      <c r="BH66" s="21"/>
      <c r="BI66" s="21"/>
      <c r="BJ66" s="25"/>
      <c r="BK66" s="23"/>
      <c r="BL66" s="21"/>
      <c r="BM66" s="21"/>
      <c r="BN66" s="21"/>
      <c r="BO66" s="25"/>
      <c r="BP66" s="23"/>
      <c r="BQ66" s="21"/>
      <c r="BR66" s="21"/>
      <c r="BS66" s="21"/>
      <c r="BT66" s="25">
        <f t="shared" si="4"/>
        <v>0</v>
      </c>
      <c r="BU66" s="21"/>
      <c r="BV66" s="26"/>
      <c r="BW66" s="21"/>
      <c r="BX66" s="21"/>
      <c r="BY66" s="21"/>
      <c r="BZ66" s="27">
        <f t="shared" si="0"/>
        <v>0</v>
      </c>
      <c r="CA66" s="26"/>
      <c r="CB66" s="21"/>
      <c r="CC66" s="21"/>
      <c r="CD66" s="21"/>
      <c r="CE66" s="27">
        <f t="shared" si="35"/>
        <v>0</v>
      </c>
      <c r="CF66" s="26"/>
      <c r="CG66" s="21"/>
      <c r="CH66" s="21"/>
      <c r="CI66" s="21"/>
      <c r="CJ66" s="27">
        <f t="shared" si="36"/>
        <v>0</v>
      </c>
    </row>
    <row r="67" spans="2:88" x14ac:dyDescent="0.25">
      <c r="B67" t="s">
        <v>58</v>
      </c>
      <c r="C67" s="17">
        <v>5060426000</v>
      </c>
      <c r="D67" t="s">
        <v>249</v>
      </c>
      <c r="E67" t="str">
        <f t="shared" si="3"/>
        <v>$2 Billion - $10 Billion</v>
      </c>
      <c r="F67">
        <f>IF(C67="", "", COUNTIF($C$6:C67,"&gt;0"))</f>
        <v>62</v>
      </c>
      <c r="G67" t="str">
        <f>IF(E67&lt;&gt;'[1]By Asset Category'!$B$1,"",COUNTIF($E$6:E67,'[1]By Asset Category'!$B$1))</f>
        <v/>
      </c>
      <c r="H67" t="s">
        <v>250</v>
      </c>
      <c r="L67" s="33"/>
      <c r="M67" s="34"/>
      <c r="N67" s="19"/>
      <c r="O67" s="19"/>
      <c r="P67" s="19"/>
      <c r="Q67" s="19"/>
      <c r="R67" s="34"/>
      <c r="S67" s="19"/>
      <c r="T67" s="19"/>
      <c r="U67" s="19"/>
      <c r="V67" s="19"/>
      <c r="W67" s="26"/>
      <c r="X67" s="21"/>
      <c r="Y67" s="21"/>
      <c r="Z67" s="21"/>
      <c r="AA67" s="22"/>
      <c r="AB67" s="23"/>
      <c r="AC67" s="21"/>
      <c r="AD67" s="21"/>
      <c r="AE67" s="21"/>
      <c r="AF67" s="35"/>
      <c r="AG67" s="23"/>
      <c r="AH67" s="21"/>
      <c r="AI67" s="21"/>
      <c r="AJ67" s="21"/>
      <c r="AK67" s="25"/>
      <c r="AL67" s="23"/>
      <c r="AM67" s="21"/>
      <c r="AN67" s="21"/>
      <c r="AO67" s="21"/>
      <c r="AP67" s="25"/>
      <c r="AQ67" s="23"/>
      <c r="AR67" s="21"/>
      <c r="AS67" s="21"/>
      <c r="AT67" s="21"/>
      <c r="AU67" s="25"/>
      <c r="AV67" s="23"/>
      <c r="AW67" s="21"/>
      <c r="AX67" s="21"/>
      <c r="AY67" s="21"/>
      <c r="AZ67" s="25"/>
      <c r="BA67" s="23"/>
      <c r="BB67" s="21"/>
      <c r="BC67" s="21"/>
      <c r="BD67" s="21"/>
      <c r="BE67" s="25"/>
      <c r="BF67" s="23"/>
      <c r="BG67" s="21"/>
      <c r="BH67" s="21"/>
      <c r="BI67" s="21"/>
      <c r="BJ67" s="25"/>
      <c r="BK67" s="23"/>
      <c r="BL67" s="21"/>
      <c r="BM67" s="21"/>
      <c r="BN67" s="21"/>
      <c r="BO67" s="25"/>
      <c r="BP67" s="23"/>
      <c r="BQ67" s="21"/>
      <c r="BR67" s="21"/>
      <c r="BS67" s="21"/>
      <c r="BT67" s="25"/>
      <c r="BU67" s="21"/>
      <c r="BV67" s="26"/>
      <c r="BW67" s="21"/>
      <c r="BX67" s="21"/>
      <c r="BY67" s="21"/>
      <c r="BZ67" s="27"/>
      <c r="CA67" s="26"/>
      <c r="CB67" s="21"/>
      <c r="CC67" s="21"/>
      <c r="CD67" s="21"/>
      <c r="CE67" s="27"/>
      <c r="CF67" s="26"/>
      <c r="CG67" s="21"/>
      <c r="CH67" s="21"/>
      <c r="CI67" s="21"/>
      <c r="CJ67" s="27"/>
    </row>
    <row r="68" spans="2:88" x14ac:dyDescent="0.25">
      <c r="B68" t="s">
        <v>35</v>
      </c>
      <c r="C68" s="17">
        <v>35216904000</v>
      </c>
      <c r="D68" t="s">
        <v>251</v>
      </c>
      <c r="E68" t="str">
        <f t="shared" si="3"/>
        <v>Over $10 Billion</v>
      </c>
      <c r="F68">
        <f>IF(C68="", "", COUNTIF($C$6:C68,"&gt;0"))</f>
        <v>63</v>
      </c>
      <c r="G68" t="str">
        <f>IF(E68&lt;&gt;'[1]By Asset Category'!$B$1,"",COUNTIF($E$6:E68,'[1]By Asset Category'!$B$1))</f>
        <v/>
      </c>
      <c r="H68" t="s">
        <v>252</v>
      </c>
      <c r="I68" t="s">
        <v>253</v>
      </c>
      <c r="J68" t="s">
        <v>254</v>
      </c>
      <c r="K68" t="s">
        <v>255</v>
      </c>
      <c r="L68" s="33"/>
      <c r="M68" s="34">
        <v>1370</v>
      </c>
      <c r="N68" s="19">
        <v>2300</v>
      </c>
      <c r="O68" s="19">
        <v>1000</v>
      </c>
      <c r="P68" s="19"/>
      <c r="Q68" s="19">
        <f t="shared" ref="Q68:Q71" si="37">SUM(M68:P68)</f>
        <v>4670</v>
      </c>
      <c r="R68" s="34">
        <v>1065</v>
      </c>
      <c r="S68" s="19">
        <v>1750</v>
      </c>
      <c r="T68" s="19">
        <v>1000</v>
      </c>
      <c r="U68" s="19"/>
      <c r="V68" s="19">
        <f t="shared" ref="V68:V71" si="38">SUM(R68:U68)</f>
        <v>3815</v>
      </c>
      <c r="W68" s="26">
        <v>980</v>
      </c>
      <c r="X68" s="21">
        <v>1750</v>
      </c>
      <c r="Y68" s="21">
        <v>1000</v>
      </c>
      <c r="Z68" s="21"/>
      <c r="AA68" s="22">
        <f t="shared" ref="AA68:AA71" si="39">SUM(W68:Z68)</f>
        <v>3730</v>
      </c>
      <c r="AB68" s="23">
        <v>900</v>
      </c>
      <c r="AC68" s="21">
        <v>1000</v>
      </c>
      <c r="AD68" s="21">
        <v>1000</v>
      </c>
      <c r="AE68" s="21"/>
      <c r="AF68" s="35">
        <f t="shared" ref="AF68:AF71" si="40">SUM(AB68:AE68)</f>
        <v>2900</v>
      </c>
      <c r="AG68" s="23">
        <v>1200</v>
      </c>
      <c r="AH68" s="21">
        <v>950</v>
      </c>
      <c r="AI68" s="21">
        <v>1000</v>
      </c>
      <c r="AJ68" s="21"/>
      <c r="AK68" s="25">
        <f t="shared" ref="AK68:AK71" si="41">SUM(AG68:AJ68)</f>
        <v>3150</v>
      </c>
      <c r="AL68" s="23">
        <v>1035</v>
      </c>
      <c r="AM68" s="21">
        <v>1350</v>
      </c>
      <c r="AN68" s="21">
        <v>1000</v>
      </c>
      <c r="AO68" s="21"/>
      <c r="AP68" s="25">
        <f t="shared" ref="AP68:AP71" si="42">SUM(AL68:AO68)</f>
        <v>3385</v>
      </c>
      <c r="AQ68" s="23">
        <v>1320</v>
      </c>
      <c r="AR68" s="21">
        <v>2250</v>
      </c>
      <c r="AS68" s="21">
        <v>1000</v>
      </c>
      <c r="AT68" s="21"/>
      <c r="AU68" s="25">
        <f t="shared" ref="AU68:AU71" si="43">SUM(AQ68:AT68)</f>
        <v>4570</v>
      </c>
      <c r="AV68" s="23">
        <v>475</v>
      </c>
      <c r="AW68" s="21">
        <v>700</v>
      </c>
      <c r="AX68" s="21">
        <v>1000</v>
      </c>
      <c r="AY68" s="21"/>
      <c r="AZ68" s="25">
        <f t="shared" ref="AZ68:AZ71" si="44">SUM(AV68:AY68)</f>
        <v>2175</v>
      </c>
      <c r="BA68" s="23">
        <v>420</v>
      </c>
      <c r="BB68" s="21"/>
      <c r="BC68" s="21"/>
      <c r="BD68" s="21"/>
      <c r="BE68" s="25">
        <f t="shared" ref="BE68:BE71" si="45">SUM(BA68:BD68)</f>
        <v>420</v>
      </c>
      <c r="BF68" s="23"/>
      <c r="BG68" s="21"/>
      <c r="BH68" s="21"/>
      <c r="BI68" s="21"/>
      <c r="BJ68" s="25">
        <f>SUM(BF68:BH68)</f>
        <v>0</v>
      </c>
      <c r="BK68" s="23"/>
      <c r="BL68" s="21"/>
      <c r="BM68" s="21"/>
      <c r="BN68" s="21"/>
      <c r="BO68" s="25">
        <f>SUM(BK68:BM68)</f>
        <v>0</v>
      </c>
      <c r="BP68" s="23"/>
      <c r="BQ68" s="21"/>
      <c r="BR68" s="21">
        <v>2500</v>
      </c>
      <c r="BS68" s="21"/>
      <c r="BT68" s="25">
        <f t="shared" ref="BT68:BT101" si="46">SUM(BP68:BS68)</f>
        <v>2500</v>
      </c>
      <c r="BU68" s="21"/>
      <c r="BV68" s="26"/>
      <c r="BW68" s="21"/>
      <c r="BX68" s="21"/>
      <c r="BY68" s="21"/>
      <c r="BZ68" s="27">
        <f t="shared" si="0"/>
        <v>0</v>
      </c>
      <c r="CA68" s="26"/>
      <c r="CB68" s="21"/>
      <c r="CC68" s="21"/>
      <c r="CD68" s="21"/>
      <c r="CE68" s="27">
        <f t="shared" si="35"/>
        <v>0</v>
      </c>
      <c r="CF68" s="26"/>
      <c r="CG68" s="21"/>
      <c r="CH68" s="21"/>
      <c r="CI68" s="21"/>
      <c r="CJ68" s="27">
        <f t="shared" ref="CJ68:CJ72" si="47">SUM(CF68:CI68)</f>
        <v>0</v>
      </c>
    </row>
    <row r="69" spans="2:88" x14ac:dyDescent="0.25">
      <c r="B69" t="s">
        <v>35</v>
      </c>
      <c r="C69" s="17">
        <v>281852000</v>
      </c>
      <c r="D69" t="s">
        <v>256</v>
      </c>
      <c r="E69" t="str">
        <f t="shared" si="3"/>
        <v>Less than $350 Million</v>
      </c>
      <c r="F69">
        <f>IF(C69="", "", COUNTIF($C$6:C69,"&gt;0"))</f>
        <v>64</v>
      </c>
      <c r="G69" t="str">
        <f>IF(E69&lt;&gt;'[1]By Asset Category'!$B$1,"",COUNTIF($E$6:E69,'[1]By Asset Category'!$B$1))</f>
        <v/>
      </c>
      <c r="H69" t="s">
        <v>257</v>
      </c>
      <c r="I69" t="s">
        <v>38</v>
      </c>
      <c r="J69" t="s">
        <v>258</v>
      </c>
      <c r="K69" t="s">
        <v>259</v>
      </c>
      <c r="L69" s="33"/>
      <c r="M69" s="34">
        <v>0</v>
      </c>
      <c r="N69" s="19">
        <v>0</v>
      </c>
      <c r="O69" s="19">
        <v>500</v>
      </c>
      <c r="P69" s="19"/>
      <c r="Q69" s="19">
        <f t="shared" si="37"/>
        <v>500</v>
      </c>
      <c r="R69" s="34">
        <v>0</v>
      </c>
      <c r="S69" s="19">
        <v>0</v>
      </c>
      <c r="T69" s="19">
        <v>500</v>
      </c>
      <c r="U69" s="19"/>
      <c r="V69" s="19">
        <f t="shared" si="38"/>
        <v>500</v>
      </c>
      <c r="W69" s="26">
        <v>0</v>
      </c>
      <c r="X69" s="21">
        <v>0</v>
      </c>
      <c r="Y69" s="21">
        <v>500</v>
      </c>
      <c r="Z69" s="21"/>
      <c r="AA69" s="22">
        <f t="shared" si="39"/>
        <v>500</v>
      </c>
      <c r="AB69" s="23"/>
      <c r="AC69" s="21"/>
      <c r="AD69" s="21"/>
      <c r="AE69" s="21"/>
      <c r="AF69" s="35">
        <f t="shared" si="40"/>
        <v>0</v>
      </c>
      <c r="AG69" s="23"/>
      <c r="AH69" s="21"/>
      <c r="AI69" s="21"/>
      <c r="AJ69" s="21"/>
      <c r="AK69" s="25">
        <f t="shared" si="41"/>
        <v>0</v>
      </c>
      <c r="AL69" s="23"/>
      <c r="AM69" s="21"/>
      <c r="AN69" s="21">
        <v>2000</v>
      </c>
      <c r="AO69" s="21"/>
      <c r="AP69" s="25">
        <f t="shared" si="42"/>
        <v>2000</v>
      </c>
      <c r="AQ69" s="23"/>
      <c r="AR69" s="21"/>
      <c r="AS69" s="21">
        <v>5000</v>
      </c>
      <c r="AT69" s="21"/>
      <c r="AU69" s="25">
        <f t="shared" si="43"/>
        <v>5000</v>
      </c>
      <c r="AV69" s="23"/>
      <c r="AW69" s="21"/>
      <c r="AX69" s="21">
        <v>5000</v>
      </c>
      <c r="AY69" s="21"/>
      <c r="AZ69" s="25">
        <f t="shared" si="44"/>
        <v>5000</v>
      </c>
      <c r="BA69" s="23"/>
      <c r="BB69" s="21"/>
      <c r="BC69" s="21">
        <v>2000</v>
      </c>
      <c r="BD69" s="21"/>
      <c r="BE69" s="25">
        <f t="shared" si="45"/>
        <v>2000</v>
      </c>
      <c r="BF69" s="23"/>
      <c r="BG69" s="21"/>
      <c r="BH69" s="21"/>
      <c r="BI69" s="21"/>
      <c r="BJ69" s="25">
        <f>SUM(BF69:BH69)</f>
        <v>0</v>
      </c>
      <c r="BK69" s="23"/>
      <c r="BL69" s="21"/>
      <c r="BM69" s="21">
        <v>5000</v>
      </c>
      <c r="BN69" s="21"/>
      <c r="BO69" s="25">
        <f>SUM(BK69:BM69)</f>
        <v>5000</v>
      </c>
      <c r="BP69" s="23"/>
      <c r="BQ69" s="21"/>
      <c r="BR69" s="21"/>
      <c r="BS69" s="21"/>
      <c r="BT69" s="25">
        <f t="shared" si="46"/>
        <v>0</v>
      </c>
      <c r="BU69" s="21"/>
      <c r="BV69" s="26"/>
      <c r="BW69" s="21"/>
      <c r="BX69" s="21">
        <v>2500</v>
      </c>
      <c r="BY69" s="21"/>
      <c r="BZ69" s="27">
        <f t="shared" si="0"/>
        <v>2500</v>
      </c>
      <c r="CA69" s="26">
        <v>50</v>
      </c>
      <c r="CB69" s="21"/>
      <c r="CC69" s="21">
        <v>2500</v>
      </c>
      <c r="CD69" s="21"/>
      <c r="CE69" s="27">
        <f t="shared" si="35"/>
        <v>2550</v>
      </c>
      <c r="CF69" s="26">
        <v>50</v>
      </c>
      <c r="CG69" s="21"/>
      <c r="CH69" s="21">
        <v>2500</v>
      </c>
      <c r="CI69" s="21"/>
      <c r="CJ69" s="27">
        <f t="shared" si="47"/>
        <v>2550</v>
      </c>
    </row>
    <row r="70" spans="2:88" x14ac:dyDescent="0.25">
      <c r="B70" t="s">
        <v>47</v>
      </c>
      <c r="C70" s="17">
        <v>453973605000</v>
      </c>
      <c r="D70" t="s">
        <v>260</v>
      </c>
      <c r="E70" t="str">
        <f t="shared" si="3"/>
        <v>Over $10 Billion</v>
      </c>
      <c r="F70">
        <f>IF(C70="", "", COUNTIF($C$6:C70,"&gt;0"))</f>
        <v>65</v>
      </c>
      <c r="G70" t="str">
        <f>IF(E70&lt;&gt;'[1]By Asset Category'!$B$1,"",COUNTIF($E$6:E70,'[1]By Asset Category'!$B$1))</f>
        <v/>
      </c>
      <c r="H70" t="s">
        <v>261</v>
      </c>
      <c r="I70" t="s">
        <v>262</v>
      </c>
      <c r="J70" t="s">
        <v>263</v>
      </c>
      <c r="K70" t="s">
        <v>264</v>
      </c>
      <c r="L70" s="33"/>
      <c r="M70" s="34"/>
      <c r="N70" s="19"/>
      <c r="O70" s="19"/>
      <c r="P70" s="19"/>
      <c r="Q70" s="19">
        <f t="shared" si="37"/>
        <v>0</v>
      </c>
      <c r="R70" s="34"/>
      <c r="S70" s="19"/>
      <c r="T70" s="19"/>
      <c r="U70" s="19"/>
      <c r="V70" s="19">
        <f t="shared" si="38"/>
        <v>0</v>
      </c>
      <c r="W70" s="26"/>
      <c r="X70" s="21"/>
      <c r="Y70" s="21"/>
      <c r="Z70" s="21"/>
      <c r="AA70" s="22">
        <f t="shared" si="39"/>
        <v>0</v>
      </c>
      <c r="AB70" s="23"/>
      <c r="AC70" s="21"/>
      <c r="AD70" s="21"/>
      <c r="AE70" s="21"/>
      <c r="AF70" s="35">
        <f t="shared" si="40"/>
        <v>0</v>
      </c>
      <c r="AG70" s="23"/>
      <c r="AH70" s="21"/>
      <c r="AI70" s="21"/>
      <c r="AJ70" s="21"/>
      <c r="AK70" s="25">
        <f t="shared" si="41"/>
        <v>0</v>
      </c>
      <c r="AL70" s="23"/>
      <c r="AM70" s="21"/>
      <c r="AN70" s="21"/>
      <c r="AO70" s="21"/>
      <c r="AP70" s="25">
        <f t="shared" si="42"/>
        <v>0</v>
      </c>
      <c r="AQ70" s="23"/>
      <c r="AR70" s="21"/>
      <c r="AS70" s="21"/>
      <c r="AT70" s="21"/>
      <c r="AU70" s="25">
        <f t="shared" si="43"/>
        <v>0</v>
      </c>
      <c r="AV70" s="23"/>
      <c r="AW70" s="21"/>
      <c r="AX70" s="21"/>
      <c r="AY70" s="21"/>
      <c r="AZ70" s="25">
        <f t="shared" si="44"/>
        <v>0</v>
      </c>
      <c r="BA70" s="23"/>
      <c r="BB70" s="21"/>
      <c r="BC70" s="21"/>
      <c r="BD70" s="21"/>
      <c r="BE70" s="25">
        <f t="shared" si="45"/>
        <v>0</v>
      </c>
      <c r="BF70" s="23"/>
      <c r="BG70" s="21"/>
      <c r="BH70" s="21"/>
      <c r="BI70" s="21"/>
      <c r="BJ70" s="25"/>
      <c r="BK70" s="23"/>
      <c r="BL70" s="21"/>
      <c r="BM70" s="21"/>
      <c r="BN70" s="21"/>
      <c r="BO70" s="25"/>
      <c r="BP70" s="23">
        <v>1825</v>
      </c>
      <c r="BQ70" s="21">
        <v>1400</v>
      </c>
      <c r="BR70" s="21">
        <v>1400</v>
      </c>
      <c r="BS70" s="21"/>
      <c r="BT70" s="25">
        <f t="shared" si="46"/>
        <v>4625</v>
      </c>
      <c r="BU70" s="21">
        <v>1000</v>
      </c>
      <c r="BV70" s="26"/>
      <c r="BW70" s="21"/>
      <c r="BX70" s="21">
        <v>1500</v>
      </c>
      <c r="BY70" s="21"/>
      <c r="BZ70" s="27">
        <f t="shared" si="0"/>
        <v>1500</v>
      </c>
      <c r="CA70" s="26"/>
      <c r="CB70" s="21"/>
      <c r="CC70" s="21">
        <v>2000</v>
      </c>
      <c r="CD70" s="21"/>
      <c r="CE70" s="27">
        <f t="shared" si="35"/>
        <v>2000</v>
      </c>
      <c r="CF70" s="26"/>
      <c r="CG70" s="21"/>
      <c r="CH70" s="21">
        <v>2000</v>
      </c>
      <c r="CI70" s="21"/>
      <c r="CJ70" s="27">
        <f t="shared" si="47"/>
        <v>2000</v>
      </c>
    </row>
    <row r="71" spans="2:88" x14ac:dyDescent="0.25">
      <c r="B71" t="s">
        <v>53</v>
      </c>
      <c r="C71" s="17">
        <v>412975000</v>
      </c>
      <c r="D71" t="s">
        <v>265</v>
      </c>
      <c r="E71" t="str">
        <f t="shared" ref="E71:E101" si="48">+IF(C71="","",IF(C71&gt;10000000000,"Over $10 Billion",IF(C71&gt;2000000000,"$2 Billion - $10 Billion",IF(C71&gt;800000000,"$800 Million - $2 Billion",IF(C71&gt;350000000,"$350 Million - $800 Million","Less than $350 Million")))))</f>
        <v>$350 Million - $800 Million</v>
      </c>
      <c r="F71">
        <f>IF(C71="", "", COUNTIF($C$6:C71,"&gt;0"))</f>
        <v>66</v>
      </c>
      <c r="G71" t="str">
        <f>IF(E71&lt;&gt;'[1]By Asset Category'!$B$1,"",COUNTIF($E$6:E71,'[1]By Asset Category'!$B$1))</f>
        <v/>
      </c>
      <c r="H71" t="s">
        <v>266</v>
      </c>
      <c r="I71" t="s">
        <v>91</v>
      </c>
      <c r="J71" t="s">
        <v>267</v>
      </c>
      <c r="K71" t="s">
        <v>268</v>
      </c>
      <c r="L71" s="33" t="s">
        <v>3</v>
      </c>
      <c r="M71" s="34">
        <v>460</v>
      </c>
      <c r="N71" s="19">
        <v>500</v>
      </c>
      <c r="O71" s="19">
        <v>1000</v>
      </c>
      <c r="P71" s="19"/>
      <c r="Q71" s="19">
        <f t="shared" si="37"/>
        <v>1960</v>
      </c>
      <c r="R71" s="34">
        <v>775</v>
      </c>
      <c r="S71" s="19">
        <v>0</v>
      </c>
      <c r="T71" s="19">
        <v>1000</v>
      </c>
      <c r="U71" s="19"/>
      <c r="V71" s="19">
        <f t="shared" si="38"/>
        <v>1775</v>
      </c>
      <c r="W71" s="26">
        <v>600</v>
      </c>
      <c r="X71" s="21">
        <v>200</v>
      </c>
      <c r="Y71" s="21">
        <v>1000</v>
      </c>
      <c r="Z71" s="21"/>
      <c r="AA71" s="22">
        <f t="shared" si="39"/>
        <v>1800</v>
      </c>
      <c r="AB71" s="23">
        <v>775</v>
      </c>
      <c r="AC71" s="21">
        <v>250</v>
      </c>
      <c r="AD71" s="21">
        <v>1500</v>
      </c>
      <c r="AE71" s="21"/>
      <c r="AF71" s="35">
        <f t="shared" si="40"/>
        <v>2525</v>
      </c>
      <c r="AG71" s="23">
        <v>1250</v>
      </c>
      <c r="AH71" s="21">
        <v>150</v>
      </c>
      <c r="AI71" s="21">
        <v>1000</v>
      </c>
      <c r="AJ71" s="21"/>
      <c r="AK71" s="25">
        <f t="shared" si="41"/>
        <v>2400</v>
      </c>
      <c r="AL71" s="23">
        <v>1100</v>
      </c>
      <c r="AM71" s="21">
        <v>350</v>
      </c>
      <c r="AN71" s="21">
        <v>1000</v>
      </c>
      <c r="AO71" s="21"/>
      <c r="AP71" s="25">
        <f t="shared" si="42"/>
        <v>2450</v>
      </c>
      <c r="AQ71" s="23">
        <v>1840</v>
      </c>
      <c r="AR71" s="21">
        <v>300</v>
      </c>
      <c r="AS71" s="21">
        <v>1000</v>
      </c>
      <c r="AT71" s="21"/>
      <c r="AU71" s="25">
        <f t="shared" si="43"/>
        <v>3140</v>
      </c>
      <c r="AV71" s="23">
        <v>1610</v>
      </c>
      <c r="AW71" s="21">
        <v>350</v>
      </c>
      <c r="AX71" s="21">
        <v>1350</v>
      </c>
      <c r="AY71" s="21"/>
      <c r="AZ71" s="25">
        <f t="shared" si="44"/>
        <v>3310</v>
      </c>
      <c r="BA71" s="23">
        <v>1815</v>
      </c>
      <c r="BB71" s="21">
        <v>800</v>
      </c>
      <c r="BC71" s="21">
        <v>1350</v>
      </c>
      <c r="BD71" s="21"/>
      <c r="BE71" s="25">
        <f t="shared" si="45"/>
        <v>3965</v>
      </c>
      <c r="BF71" s="23">
        <v>1750</v>
      </c>
      <c r="BG71" s="21">
        <v>800</v>
      </c>
      <c r="BH71" s="21">
        <v>1400</v>
      </c>
      <c r="BI71" s="21"/>
      <c r="BJ71" s="25">
        <f>SUM(BF71:BI71)</f>
        <v>3950</v>
      </c>
      <c r="BK71" s="23">
        <v>1725</v>
      </c>
      <c r="BL71" s="21">
        <v>1750</v>
      </c>
      <c r="BM71" s="21">
        <v>1400</v>
      </c>
      <c r="BN71" s="21"/>
      <c r="BO71" s="25">
        <f>SUM(BK71:BN71)</f>
        <v>4875</v>
      </c>
      <c r="BP71" s="23"/>
      <c r="BQ71" s="21"/>
      <c r="BR71" s="21"/>
      <c r="BS71" s="21"/>
      <c r="BT71" s="25">
        <f t="shared" si="46"/>
        <v>0</v>
      </c>
      <c r="BU71" s="21"/>
      <c r="BV71" s="26">
        <v>3770</v>
      </c>
      <c r="BW71" s="21">
        <v>1700</v>
      </c>
      <c r="BX71" s="21">
        <v>1400</v>
      </c>
      <c r="BY71" s="21"/>
      <c r="BZ71" s="27">
        <f t="shared" si="0"/>
        <v>6870</v>
      </c>
      <c r="CA71" s="26">
        <v>4000</v>
      </c>
      <c r="CB71" s="21">
        <v>1050</v>
      </c>
      <c r="CC71" s="21">
        <v>1750</v>
      </c>
      <c r="CD71" s="21"/>
      <c r="CE71" s="27">
        <f t="shared" si="35"/>
        <v>6800</v>
      </c>
      <c r="CF71" s="26">
        <v>4000</v>
      </c>
      <c r="CG71" s="21">
        <v>1050</v>
      </c>
      <c r="CH71" s="21">
        <v>1750</v>
      </c>
      <c r="CI71" s="21"/>
      <c r="CJ71" s="27">
        <f t="shared" si="47"/>
        <v>6800</v>
      </c>
    </row>
    <row r="72" spans="2:88" x14ac:dyDescent="0.25">
      <c r="B72" t="s">
        <v>58</v>
      </c>
      <c r="C72" s="17">
        <v>884999000</v>
      </c>
      <c r="D72" t="s">
        <v>269</v>
      </c>
      <c r="E72" t="str">
        <f t="shared" si="48"/>
        <v>$800 Million - $2 Billion</v>
      </c>
      <c r="F72">
        <f>IF(C72="", "", COUNTIF($C$6:C72,"&gt;0"))</f>
        <v>67</v>
      </c>
      <c r="G72">
        <f>IF(E72&lt;&gt;'[1]By Asset Category'!$B$1,"",COUNTIF($E$6:E72,'[1]By Asset Category'!$B$1))</f>
        <v>18</v>
      </c>
      <c r="H72" t="s">
        <v>270</v>
      </c>
      <c r="I72" t="s">
        <v>100</v>
      </c>
      <c r="J72" t="s">
        <v>271</v>
      </c>
      <c r="K72" t="s">
        <v>272</v>
      </c>
      <c r="L72" s="33"/>
      <c r="M72" s="34"/>
      <c r="N72" s="19"/>
      <c r="O72" s="19"/>
      <c r="P72" s="19"/>
      <c r="Q72" s="19"/>
      <c r="R72" s="34"/>
      <c r="S72" s="19"/>
      <c r="T72" s="19"/>
      <c r="U72" s="19"/>
      <c r="V72" s="19"/>
      <c r="W72" s="26"/>
      <c r="X72" s="21"/>
      <c r="Y72" s="21"/>
      <c r="Z72" s="21"/>
      <c r="AA72" s="22"/>
      <c r="AB72" s="23"/>
      <c r="AC72" s="21"/>
      <c r="AD72" s="21"/>
      <c r="AE72" s="21"/>
      <c r="AF72" s="35"/>
      <c r="AG72" s="23"/>
      <c r="AH72" s="21"/>
      <c r="AI72" s="21"/>
      <c r="AJ72" s="21"/>
      <c r="AK72" s="25"/>
      <c r="AL72" s="23"/>
      <c r="AM72" s="21"/>
      <c r="AN72" s="21"/>
      <c r="AO72" s="21"/>
      <c r="AP72" s="25"/>
      <c r="AQ72" s="23"/>
      <c r="AR72" s="21"/>
      <c r="AS72" s="21"/>
      <c r="AT72" s="21"/>
      <c r="AU72" s="25"/>
      <c r="AV72" s="23"/>
      <c r="AW72" s="21"/>
      <c r="AX72" s="21"/>
      <c r="AY72" s="21"/>
      <c r="AZ72" s="25"/>
      <c r="BA72" s="23"/>
      <c r="BB72" s="21"/>
      <c r="BC72" s="21"/>
      <c r="BD72" s="21"/>
      <c r="BE72" s="25"/>
      <c r="BF72" s="23"/>
      <c r="BG72" s="21"/>
      <c r="BH72" s="21"/>
      <c r="BI72" s="21"/>
      <c r="BJ72" s="25"/>
      <c r="BK72" s="23"/>
      <c r="BL72" s="21"/>
      <c r="BM72" s="21"/>
      <c r="BN72" s="21"/>
      <c r="BO72" s="25"/>
      <c r="BP72" s="23"/>
      <c r="BQ72" s="21"/>
      <c r="BR72" s="21"/>
      <c r="BS72" s="21"/>
      <c r="BT72" s="25">
        <f t="shared" si="46"/>
        <v>0</v>
      </c>
      <c r="BU72" s="21"/>
      <c r="BV72" s="26"/>
      <c r="BW72" s="21"/>
      <c r="BX72" s="21"/>
      <c r="BY72" s="21"/>
      <c r="BZ72" s="27">
        <f t="shared" ref="BZ72:BZ101" si="49">SUM(BV72:BY72)</f>
        <v>0</v>
      </c>
      <c r="CA72" s="26"/>
      <c r="CB72" s="21"/>
      <c r="CC72" s="21"/>
      <c r="CD72" s="21"/>
      <c r="CE72" s="27">
        <f t="shared" si="35"/>
        <v>0</v>
      </c>
      <c r="CF72" s="26"/>
      <c r="CG72" s="21"/>
      <c r="CH72" s="21"/>
      <c r="CI72" s="21"/>
      <c r="CJ72" s="27">
        <f t="shared" si="47"/>
        <v>0</v>
      </c>
    </row>
    <row r="73" spans="2:88" x14ac:dyDescent="0.25">
      <c r="C73" s="17">
        <v>5127920000</v>
      </c>
      <c r="D73" t="s">
        <v>273</v>
      </c>
      <c r="E73" t="str">
        <f t="shared" si="48"/>
        <v>$2 Billion - $10 Billion</v>
      </c>
      <c r="F73">
        <f>IF(C73="", "", COUNTIF($C$6:C73,"&gt;0"))</f>
        <v>68</v>
      </c>
      <c r="G73" t="str">
        <f>IF(E73&lt;&gt;'[1]By Asset Category'!$B$1,"",COUNTIF($E$6:E73,'[1]By Asset Category'!$B$1))</f>
        <v/>
      </c>
      <c r="H73" t="s">
        <v>274</v>
      </c>
      <c r="L73" s="33"/>
      <c r="M73" s="34"/>
      <c r="N73" s="19"/>
      <c r="O73" s="19"/>
      <c r="P73" s="19"/>
      <c r="Q73" s="19"/>
      <c r="R73" s="34"/>
      <c r="S73" s="19"/>
      <c r="T73" s="19"/>
      <c r="U73" s="19"/>
      <c r="V73" s="19"/>
      <c r="W73" s="26"/>
      <c r="X73" s="21"/>
      <c r="Y73" s="21"/>
      <c r="Z73" s="21"/>
      <c r="AA73" s="22"/>
      <c r="AB73" s="23"/>
      <c r="AC73" s="21"/>
      <c r="AD73" s="21"/>
      <c r="AE73" s="21"/>
      <c r="AF73" s="35"/>
      <c r="AG73" s="23"/>
      <c r="AH73" s="21"/>
      <c r="AI73" s="21"/>
      <c r="AJ73" s="21"/>
      <c r="AK73" s="25"/>
      <c r="AL73" s="23"/>
      <c r="AM73" s="21"/>
      <c r="AN73" s="21"/>
      <c r="AO73" s="21"/>
      <c r="AP73" s="25"/>
      <c r="AQ73" s="23"/>
      <c r="AR73" s="21"/>
      <c r="AS73" s="21"/>
      <c r="AT73" s="21"/>
      <c r="AU73" s="25"/>
      <c r="AV73" s="23"/>
      <c r="AW73" s="21"/>
      <c r="AX73" s="21"/>
      <c r="AY73" s="21"/>
      <c r="AZ73" s="25"/>
      <c r="BA73" s="23"/>
      <c r="BB73" s="21"/>
      <c r="BC73" s="21"/>
      <c r="BD73" s="21"/>
      <c r="BE73" s="25"/>
      <c r="BF73" s="23"/>
      <c r="BG73" s="21"/>
      <c r="BH73" s="21"/>
      <c r="BI73" s="21"/>
      <c r="BJ73" s="25"/>
      <c r="BK73" s="23"/>
      <c r="BL73" s="21"/>
      <c r="BM73" s="21"/>
      <c r="BN73" s="21"/>
      <c r="BO73" s="25"/>
      <c r="BP73" s="23"/>
      <c r="BQ73" s="21"/>
      <c r="BR73" s="21"/>
      <c r="BS73" s="21"/>
      <c r="BT73" s="25"/>
      <c r="BU73" s="21"/>
      <c r="BV73" s="26"/>
      <c r="BW73" s="21"/>
      <c r="BX73" s="21"/>
      <c r="BY73" s="21"/>
      <c r="BZ73" s="27"/>
      <c r="CA73" s="26"/>
      <c r="CB73" s="21"/>
      <c r="CC73" s="21"/>
      <c r="CD73" s="21"/>
      <c r="CE73" s="27"/>
      <c r="CF73" s="26"/>
      <c r="CG73" s="21"/>
      <c r="CH73" s="21"/>
      <c r="CI73" s="21"/>
      <c r="CJ73" s="27"/>
    </row>
    <row r="74" spans="2:88" x14ac:dyDescent="0.25">
      <c r="B74" t="s">
        <v>58</v>
      </c>
      <c r="C74" s="17">
        <v>12912358000</v>
      </c>
      <c r="D74" t="s">
        <v>275</v>
      </c>
      <c r="E74" t="str">
        <f t="shared" si="48"/>
        <v>Over $10 Billion</v>
      </c>
      <c r="F74">
        <f>IF(C74="", "", COUNTIF($C$6:C74,"&gt;0"))</f>
        <v>69</v>
      </c>
      <c r="G74" t="str">
        <f>IF(E74&lt;&gt;'[1]By Asset Category'!$B$1,"",COUNTIF($E$6:E74,'[1]By Asset Category'!$B$1))</f>
        <v/>
      </c>
      <c r="H74" t="s">
        <v>276</v>
      </c>
      <c r="I74" t="s">
        <v>38</v>
      </c>
      <c r="J74" t="s">
        <v>277</v>
      </c>
      <c r="K74" t="s">
        <v>278</v>
      </c>
      <c r="L74" s="33" t="s">
        <v>3</v>
      </c>
      <c r="M74" s="34">
        <v>0</v>
      </c>
      <c r="N74" s="19">
        <v>0</v>
      </c>
      <c r="O74" s="19">
        <v>0</v>
      </c>
      <c r="P74" s="19">
        <v>0</v>
      </c>
      <c r="Q74" s="19">
        <f>SUM(M74:P74)</f>
        <v>0</v>
      </c>
      <c r="R74" s="34">
        <v>0</v>
      </c>
      <c r="S74" s="19">
        <v>0</v>
      </c>
      <c r="T74" s="19">
        <v>0</v>
      </c>
      <c r="U74" s="19">
        <v>0</v>
      </c>
      <c r="V74" s="19">
        <f>SUM(R74:U74)</f>
        <v>0</v>
      </c>
      <c r="W74" s="26">
        <v>0</v>
      </c>
      <c r="X74" s="21">
        <v>0</v>
      </c>
      <c r="Y74" s="21">
        <v>2500</v>
      </c>
      <c r="Z74" s="21"/>
      <c r="AA74" s="22">
        <f>SUM(W74:Z74)</f>
        <v>2500</v>
      </c>
      <c r="AB74" s="23"/>
      <c r="AC74" s="21"/>
      <c r="AD74" s="21">
        <v>2500</v>
      </c>
      <c r="AE74" s="21"/>
      <c r="AF74" s="35">
        <f>SUM(AB74:AE74)</f>
        <v>2500</v>
      </c>
      <c r="AG74" s="23"/>
      <c r="AH74" s="21"/>
      <c r="AI74" s="21">
        <v>2500</v>
      </c>
      <c r="AJ74" s="21"/>
      <c r="AK74" s="25">
        <f>SUM(AG74:AJ74)</f>
        <v>2500</v>
      </c>
      <c r="AL74" s="23"/>
      <c r="AM74" s="21"/>
      <c r="AN74" s="21">
        <v>2500</v>
      </c>
      <c r="AO74" s="21"/>
      <c r="AP74" s="25">
        <f>SUM(AL74:AO74)</f>
        <v>2500</v>
      </c>
      <c r="AQ74" s="23"/>
      <c r="AR74" s="21"/>
      <c r="AS74" s="21"/>
      <c r="AT74" s="21"/>
      <c r="AU74" s="25">
        <f>SUM(AQ74:AT74)</f>
        <v>0</v>
      </c>
      <c r="AV74" s="23"/>
      <c r="AW74" s="21"/>
      <c r="AX74" s="21"/>
      <c r="AY74" s="21"/>
      <c r="AZ74" s="25">
        <f>SUM(AV74:AY74)</f>
        <v>0</v>
      </c>
      <c r="BA74" s="23"/>
      <c r="BB74" s="21"/>
      <c r="BC74" s="21">
        <v>1500</v>
      </c>
      <c r="BD74" s="21"/>
      <c r="BE74" s="25">
        <f>SUM(BA74:BD74)</f>
        <v>1500</v>
      </c>
      <c r="BF74" s="23"/>
      <c r="BG74" s="21"/>
      <c r="BH74" s="21">
        <v>1500</v>
      </c>
      <c r="BI74" s="21"/>
      <c r="BJ74" s="25">
        <f>SUM(BF74:BI74)</f>
        <v>1500</v>
      </c>
      <c r="BK74" s="23"/>
      <c r="BL74" s="21"/>
      <c r="BM74" s="21"/>
      <c r="BN74" s="21"/>
      <c r="BO74" s="25">
        <f>SUM(BK74:BN74)</f>
        <v>0</v>
      </c>
      <c r="BP74" s="23"/>
      <c r="BQ74" s="21"/>
      <c r="BR74" s="21"/>
      <c r="BS74" s="21"/>
      <c r="BT74" s="25">
        <f t="shared" si="46"/>
        <v>0</v>
      </c>
      <c r="BU74" s="21"/>
      <c r="BV74" s="26"/>
      <c r="BW74" s="21"/>
      <c r="BX74" s="21">
        <v>2500</v>
      </c>
      <c r="BY74" s="21"/>
      <c r="BZ74" s="27">
        <f t="shared" si="49"/>
        <v>2500</v>
      </c>
      <c r="CA74" s="26">
        <v>100</v>
      </c>
      <c r="CB74" s="21"/>
      <c r="CC74" s="21"/>
      <c r="CD74" s="21"/>
      <c r="CE74" s="27">
        <f t="shared" si="35"/>
        <v>100</v>
      </c>
      <c r="CF74" s="26">
        <v>100</v>
      </c>
      <c r="CG74" s="21"/>
      <c r="CH74" s="21"/>
      <c r="CI74" s="21"/>
      <c r="CJ74" s="27">
        <f t="shared" ref="CJ74:CJ92" si="50">SUM(CF74:CI74)</f>
        <v>100</v>
      </c>
    </row>
    <row r="75" spans="2:88" x14ac:dyDescent="0.25">
      <c r="B75" t="s">
        <v>35</v>
      </c>
      <c r="C75" s="17">
        <v>368879000</v>
      </c>
      <c r="D75" t="s">
        <v>279</v>
      </c>
      <c r="E75" t="str">
        <f t="shared" si="48"/>
        <v>$350 Million - $800 Million</v>
      </c>
      <c r="F75">
        <f>IF(C75="", "", COUNTIF($C$6:C75,"&gt;0"))</f>
        <v>70</v>
      </c>
      <c r="G75" t="str">
        <f>IF(E75&lt;&gt;'[1]By Asset Category'!$B$1,"",COUNTIF($E$6:E75,'[1]By Asset Category'!$B$1))</f>
        <v/>
      </c>
      <c r="H75" t="s">
        <v>280</v>
      </c>
      <c r="I75" t="s">
        <v>91</v>
      </c>
      <c r="J75" t="s">
        <v>281</v>
      </c>
      <c r="K75" t="s">
        <v>282</v>
      </c>
      <c r="L75" s="33"/>
      <c r="M75" s="34">
        <v>0</v>
      </c>
      <c r="N75" s="19">
        <v>0</v>
      </c>
      <c r="O75" s="19">
        <v>0</v>
      </c>
      <c r="P75" s="19">
        <v>0</v>
      </c>
      <c r="Q75" s="19">
        <f>SUM(M75:P75)</f>
        <v>0</v>
      </c>
      <c r="R75" s="34">
        <v>0</v>
      </c>
      <c r="S75" s="19">
        <v>0</v>
      </c>
      <c r="T75" s="19">
        <v>0</v>
      </c>
      <c r="U75" s="19">
        <v>0</v>
      </c>
      <c r="V75" s="19">
        <f>SUM(R75:U75)</f>
        <v>0</v>
      </c>
      <c r="W75" s="26">
        <v>625</v>
      </c>
      <c r="X75" s="21">
        <v>250</v>
      </c>
      <c r="Y75" s="21">
        <v>0</v>
      </c>
      <c r="Z75" s="21"/>
      <c r="AA75" s="22">
        <f>SUM(W75:Z75)</f>
        <v>875</v>
      </c>
      <c r="AB75" s="23">
        <v>665</v>
      </c>
      <c r="AC75" s="21">
        <v>500</v>
      </c>
      <c r="AD75" s="21"/>
      <c r="AE75" s="21"/>
      <c r="AF75" s="35">
        <f>SUM(AB75:AE75)</f>
        <v>1165</v>
      </c>
      <c r="AG75" s="23">
        <v>800</v>
      </c>
      <c r="AH75" s="21">
        <v>750</v>
      </c>
      <c r="AI75" s="21">
        <v>250</v>
      </c>
      <c r="AJ75" s="21"/>
      <c r="AK75" s="25">
        <f>SUM(AG75:AJ75)</f>
        <v>1800</v>
      </c>
      <c r="AL75" s="23">
        <v>750</v>
      </c>
      <c r="AM75" s="21">
        <v>1050</v>
      </c>
      <c r="AN75" s="21">
        <v>250</v>
      </c>
      <c r="AO75" s="21"/>
      <c r="AP75" s="25">
        <f>SUM(AL75:AO75)</f>
        <v>2050</v>
      </c>
      <c r="AQ75" s="23">
        <v>1100</v>
      </c>
      <c r="AR75" s="21">
        <v>800</v>
      </c>
      <c r="AS75" s="21">
        <v>250</v>
      </c>
      <c r="AT75" s="21"/>
      <c r="AU75" s="25">
        <f>SUM(AQ75:AT75)</f>
        <v>2150</v>
      </c>
      <c r="AV75" s="23">
        <v>970</v>
      </c>
      <c r="AW75" s="21">
        <v>850</v>
      </c>
      <c r="AX75" s="21">
        <v>250</v>
      </c>
      <c r="AY75" s="21"/>
      <c r="AZ75" s="25">
        <f>SUM(AV75:AY75)</f>
        <v>2070</v>
      </c>
      <c r="BA75" s="23"/>
      <c r="BB75" s="21"/>
      <c r="BC75" s="21"/>
      <c r="BD75" s="21"/>
      <c r="BE75" s="25">
        <f>SUM(BA75:BD75)</f>
        <v>0</v>
      </c>
      <c r="BF75" s="23"/>
      <c r="BG75" s="21"/>
      <c r="BH75" s="21"/>
      <c r="BI75" s="21"/>
      <c r="BJ75" s="25">
        <f>SUM(BF75:BH75)</f>
        <v>0</v>
      </c>
      <c r="BK75" s="23"/>
      <c r="BL75" s="21"/>
      <c r="BM75" s="21"/>
      <c r="BN75" s="21"/>
      <c r="BO75" s="25">
        <f>SUM(BK75:BM75)</f>
        <v>0</v>
      </c>
      <c r="BP75" s="23"/>
      <c r="BQ75" s="21"/>
      <c r="BR75" s="21"/>
      <c r="BS75" s="21"/>
      <c r="BT75" s="25">
        <f t="shared" si="46"/>
        <v>0</v>
      </c>
      <c r="BU75" s="21"/>
      <c r="BV75" s="26">
        <v>1000</v>
      </c>
      <c r="BW75" s="21"/>
      <c r="BX75" s="21">
        <v>1000</v>
      </c>
      <c r="BY75" s="21"/>
      <c r="BZ75" s="27">
        <f t="shared" si="49"/>
        <v>2000</v>
      </c>
      <c r="CA75" s="26">
        <v>4000</v>
      </c>
      <c r="CB75" s="21"/>
      <c r="CC75" s="21">
        <v>2500</v>
      </c>
      <c r="CD75" s="21"/>
      <c r="CE75" s="27">
        <f t="shared" si="35"/>
        <v>6500</v>
      </c>
      <c r="CF75" s="26">
        <v>4000</v>
      </c>
      <c r="CG75" s="21"/>
      <c r="CH75" s="21">
        <v>2500</v>
      </c>
      <c r="CI75" s="21"/>
      <c r="CJ75" s="27">
        <f t="shared" si="50"/>
        <v>6500</v>
      </c>
    </row>
    <row r="76" spans="2:88" x14ac:dyDescent="0.25">
      <c r="B76" t="s">
        <v>41</v>
      </c>
      <c r="C76" s="17">
        <v>2119309000</v>
      </c>
      <c r="D76" t="s">
        <v>283</v>
      </c>
      <c r="E76" t="str">
        <f t="shared" si="48"/>
        <v>$2 Billion - $10 Billion</v>
      </c>
      <c r="F76">
        <f>IF(C76="", "", COUNTIF($C$6:C76,"&gt;0"))</f>
        <v>71</v>
      </c>
      <c r="G76" t="str">
        <f>IF(E76&lt;&gt;'[1]By Asset Category'!$B$1,"",COUNTIF($E$6:E76,'[1]By Asset Category'!$B$1))</f>
        <v/>
      </c>
      <c r="H76" t="s">
        <v>284</v>
      </c>
      <c r="L76" s="33"/>
      <c r="M76" s="34"/>
      <c r="N76" s="19"/>
      <c r="O76" s="19"/>
      <c r="P76" s="19"/>
      <c r="Q76" s="19"/>
      <c r="R76" s="34"/>
      <c r="S76" s="19"/>
      <c r="T76" s="19"/>
      <c r="U76" s="19"/>
      <c r="V76" s="19"/>
      <c r="W76" s="26"/>
      <c r="X76" s="21"/>
      <c r="Y76" s="21"/>
      <c r="Z76" s="21"/>
      <c r="AA76" s="22"/>
      <c r="AB76" s="23"/>
      <c r="AC76" s="21"/>
      <c r="AD76" s="21"/>
      <c r="AE76" s="21"/>
      <c r="AF76" s="35"/>
      <c r="AG76" s="23"/>
      <c r="AH76" s="21"/>
      <c r="AI76" s="21"/>
      <c r="AJ76" s="21"/>
      <c r="AK76" s="25"/>
      <c r="AL76" s="23"/>
      <c r="AM76" s="21"/>
      <c r="AN76" s="21"/>
      <c r="AO76" s="21"/>
      <c r="AP76" s="25"/>
      <c r="AQ76" s="23"/>
      <c r="AR76" s="21"/>
      <c r="AS76" s="21"/>
      <c r="AT76" s="21"/>
      <c r="AU76" s="25"/>
      <c r="AV76" s="23"/>
      <c r="AW76" s="21"/>
      <c r="AX76" s="21"/>
      <c r="AY76" s="21"/>
      <c r="AZ76" s="25"/>
      <c r="BA76" s="23"/>
      <c r="BB76" s="21"/>
      <c r="BC76" s="21"/>
      <c r="BD76" s="21"/>
      <c r="BE76" s="25"/>
      <c r="BF76" s="23"/>
      <c r="BG76" s="21"/>
      <c r="BH76" s="21"/>
      <c r="BI76" s="21"/>
      <c r="BJ76" s="25"/>
      <c r="BK76" s="23"/>
      <c r="BL76" s="21"/>
      <c r="BM76" s="21"/>
      <c r="BN76" s="21"/>
      <c r="BO76" s="25"/>
      <c r="BP76" s="23">
        <v>200</v>
      </c>
      <c r="BQ76" s="21">
        <v>200</v>
      </c>
      <c r="BR76" s="21">
        <v>5000</v>
      </c>
      <c r="BS76" s="29" t="s">
        <v>3</v>
      </c>
      <c r="BT76" s="25">
        <f t="shared" si="46"/>
        <v>5400</v>
      </c>
      <c r="BU76" s="29"/>
      <c r="BV76" s="26"/>
      <c r="BW76" s="21"/>
      <c r="BX76" s="21"/>
      <c r="BY76" s="21"/>
      <c r="BZ76" s="27">
        <f t="shared" si="49"/>
        <v>0</v>
      </c>
      <c r="CA76" s="26"/>
      <c r="CB76" s="21"/>
      <c r="CC76" s="21"/>
      <c r="CD76" s="21"/>
      <c r="CE76" s="27">
        <f t="shared" si="35"/>
        <v>0</v>
      </c>
      <c r="CF76" s="26"/>
      <c r="CG76" s="21"/>
      <c r="CH76" s="21"/>
      <c r="CI76" s="21"/>
      <c r="CJ76" s="27">
        <f t="shared" si="50"/>
        <v>0</v>
      </c>
    </row>
    <row r="77" spans="2:88" x14ac:dyDescent="0.25">
      <c r="B77" t="s">
        <v>53</v>
      </c>
      <c r="C77" s="17">
        <v>946656000</v>
      </c>
      <c r="D77" t="s">
        <v>285</v>
      </c>
      <c r="E77" t="str">
        <f t="shared" si="48"/>
        <v>$800 Million - $2 Billion</v>
      </c>
      <c r="F77">
        <f>IF(C77="", "", COUNTIF($C$6:C77,"&gt;0"))</f>
        <v>72</v>
      </c>
      <c r="G77">
        <f>IF(E77&lt;&gt;'[1]By Asset Category'!$B$1,"",COUNTIF($E$6:E77,'[1]By Asset Category'!$B$1))</f>
        <v>19</v>
      </c>
      <c r="H77" t="s">
        <v>286</v>
      </c>
      <c r="L77" s="33" t="s">
        <v>46</v>
      </c>
      <c r="M77" s="34"/>
      <c r="N77" s="19"/>
      <c r="O77" s="19"/>
      <c r="P77" s="19"/>
      <c r="Q77" s="19"/>
      <c r="R77" s="34"/>
      <c r="S77" s="19"/>
      <c r="T77" s="19"/>
      <c r="U77" s="19"/>
      <c r="V77" s="19"/>
      <c r="W77" s="26"/>
      <c r="X77" s="21"/>
      <c r="Y77" s="21"/>
      <c r="Z77" s="21"/>
      <c r="AA77" s="22"/>
      <c r="AB77" s="23"/>
      <c r="AC77" s="21"/>
      <c r="AD77" s="21"/>
      <c r="AE77" s="21"/>
      <c r="AF77" s="35"/>
      <c r="AG77" s="23"/>
      <c r="AH77" s="21"/>
      <c r="AI77" s="21"/>
      <c r="AJ77" s="21"/>
      <c r="AK77" s="25"/>
      <c r="AL77" s="23"/>
      <c r="AM77" s="21"/>
      <c r="AN77" s="21"/>
      <c r="AO77" s="21"/>
      <c r="AP77" s="25"/>
      <c r="AQ77" s="23"/>
      <c r="AR77" s="21"/>
      <c r="AS77" s="21"/>
      <c r="AT77" s="21"/>
      <c r="AU77" s="25"/>
      <c r="AV77" s="23"/>
      <c r="AW77" s="21"/>
      <c r="AX77" s="21"/>
      <c r="AY77" s="21"/>
      <c r="AZ77" s="25"/>
      <c r="BA77" s="23"/>
      <c r="BB77" s="21"/>
      <c r="BC77" s="21"/>
      <c r="BD77" s="21"/>
      <c r="BE77" s="25"/>
      <c r="BF77" s="23"/>
      <c r="BG77" s="21"/>
      <c r="BH77" s="21"/>
      <c r="BI77" s="21"/>
      <c r="BJ77" s="25"/>
      <c r="BK77" s="23">
        <v>1635</v>
      </c>
      <c r="BL77" s="21">
        <v>650</v>
      </c>
      <c r="BM77" s="21">
        <v>3000</v>
      </c>
      <c r="BN77" s="21"/>
      <c r="BO77" s="25">
        <f t="shared" ref="BO77:BO82" si="51">SUM(BK77:BN77)</f>
        <v>5285</v>
      </c>
      <c r="BP77" s="23">
        <v>785</v>
      </c>
      <c r="BQ77" s="21"/>
      <c r="BR77" s="21">
        <v>3000</v>
      </c>
      <c r="BS77" s="21"/>
      <c r="BT77" s="25">
        <f t="shared" si="46"/>
        <v>3785</v>
      </c>
      <c r="BU77" s="21">
        <v>250</v>
      </c>
      <c r="BV77" s="36">
        <v>1735</v>
      </c>
      <c r="BW77" s="29">
        <v>525</v>
      </c>
      <c r="BX77" s="29">
        <v>5000</v>
      </c>
      <c r="BY77" s="29"/>
      <c r="BZ77" s="27">
        <f t="shared" si="49"/>
        <v>7260</v>
      </c>
      <c r="CA77" s="36">
        <v>1755</v>
      </c>
      <c r="CB77" s="29">
        <v>825</v>
      </c>
      <c r="CC77" s="29">
        <v>8000</v>
      </c>
      <c r="CD77" s="29"/>
      <c r="CE77" s="27">
        <f t="shared" si="35"/>
        <v>10580</v>
      </c>
      <c r="CF77" s="36">
        <v>1755</v>
      </c>
      <c r="CG77" s="29">
        <v>825</v>
      </c>
      <c r="CH77" s="29">
        <v>8000</v>
      </c>
      <c r="CI77" s="29"/>
      <c r="CJ77" s="27">
        <f t="shared" si="50"/>
        <v>10580</v>
      </c>
    </row>
    <row r="78" spans="2:88" s="49" customFormat="1" x14ac:dyDescent="0.25">
      <c r="B78" s="49" t="s">
        <v>41</v>
      </c>
      <c r="C78" s="50">
        <v>2727264000</v>
      </c>
      <c r="D78" s="49" t="s">
        <v>287</v>
      </c>
      <c r="E78" t="str">
        <f t="shared" si="48"/>
        <v>$2 Billion - $10 Billion</v>
      </c>
      <c r="F78">
        <f>IF(C78="", "", COUNTIF($C$6:C78,"&gt;0"))</f>
        <v>73</v>
      </c>
      <c r="G78" t="str">
        <f>IF(E78&lt;&gt;'[1]By Asset Category'!$B$1,"",COUNTIF($E$6:E78,'[1]By Asset Category'!$B$1))</f>
        <v/>
      </c>
      <c r="H78" s="49" t="s">
        <v>288</v>
      </c>
      <c r="L78" s="51" t="s">
        <v>46</v>
      </c>
      <c r="M78" s="52"/>
      <c r="N78" s="53"/>
      <c r="O78" s="53"/>
      <c r="P78" s="53"/>
      <c r="Q78" s="53"/>
      <c r="R78" s="52"/>
      <c r="S78" s="53"/>
      <c r="T78" s="53"/>
      <c r="U78" s="53"/>
      <c r="V78" s="53"/>
      <c r="W78" s="54"/>
      <c r="X78" s="55"/>
      <c r="Y78" s="55"/>
      <c r="Z78" s="55"/>
      <c r="AA78" s="56"/>
      <c r="AB78" s="57"/>
      <c r="AC78" s="55"/>
      <c r="AD78" s="55"/>
      <c r="AE78" s="55"/>
      <c r="AF78" s="58"/>
      <c r="AG78" s="57"/>
      <c r="AH78" s="55"/>
      <c r="AI78" s="55"/>
      <c r="AJ78" s="55"/>
      <c r="AK78" s="59"/>
      <c r="AL78" s="57"/>
      <c r="AM78" s="55"/>
      <c r="AN78" s="55"/>
      <c r="AO78" s="55"/>
      <c r="AP78" s="59"/>
      <c r="AQ78" s="57"/>
      <c r="AR78" s="55"/>
      <c r="AS78" s="55"/>
      <c r="AT78" s="55"/>
      <c r="AU78" s="59"/>
      <c r="AV78" s="57"/>
      <c r="AW78" s="55"/>
      <c r="AX78" s="55"/>
      <c r="AY78" s="55"/>
      <c r="AZ78" s="59"/>
      <c r="BA78" s="57"/>
      <c r="BB78" s="55"/>
      <c r="BC78" s="55"/>
      <c r="BD78" s="55"/>
      <c r="BE78" s="59"/>
      <c r="BF78" s="57"/>
      <c r="BG78" s="55"/>
      <c r="BH78" s="55"/>
      <c r="BI78" s="55"/>
      <c r="BJ78" s="59"/>
      <c r="BK78" s="57">
        <v>1055</v>
      </c>
      <c r="BL78" s="55"/>
      <c r="BM78" s="55"/>
      <c r="BN78" s="55"/>
      <c r="BO78" s="59">
        <f t="shared" si="51"/>
        <v>1055</v>
      </c>
      <c r="BP78" s="57">
        <v>1045</v>
      </c>
      <c r="BQ78" s="55"/>
      <c r="BR78" s="55"/>
      <c r="BS78" s="55"/>
      <c r="BT78" s="59">
        <f t="shared" si="46"/>
        <v>1045</v>
      </c>
      <c r="BU78" s="55">
        <v>200</v>
      </c>
      <c r="BV78" s="54">
        <v>925</v>
      </c>
      <c r="BW78" s="55"/>
      <c r="BX78" s="55">
        <v>3000</v>
      </c>
      <c r="BY78" s="55"/>
      <c r="BZ78" s="60">
        <f t="shared" si="49"/>
        <v>3925</v>
      </c>
      <c r="CA78" s="54"/>
      <c r="CB78" s="55"/>
      <c r="CC78" s="55"/>
      <c r="CD78" s="55"/>
      <c r="CE78" s="60">
        <f t="shared" si="35"/>
        <v>0</v>
      </c>
      <c r="CF78" s="54"/>
      <c r="CG78" s="55"/>
      <c r="CH78" s="55"/>
      <c r="CI78" s="55"/>
      <c r="CJ78" s="60">
        <f t="shared" si="50"/>
        <v>0</v>
      </c>
    </row>
    <row r="79" spans="2:88" x14ac:dyDescent="0.25">
      <c r="B79" t="s">
        <v>41</v>
      </c>
      <c r="C79" s="17">
        <v>40262683000</v>
      </c>
      <c r="D79" t="s">
        <v>289</v>
      </c>
      <c r="E79" t="str">
        <f t="shared" si="48"/>
        <v>Over $10 Billion</v>
      </c>
      <c r="F79">
        <f>IF(C79="", "", COUNTIF($C$6:C79,"&gt;0"))</f>
        <v>74</v>
      </c>
      <c r="G79" t="str">
        <f>IF(E79&lt;&gt;'[1]By Asset Category'!$B$1,"",COUNTIF($E$6:E79,'[1]By Asset Category'!$B$1))</f>
        <v/>
      </c>
      <c r="H79" t="s">
        <v>290</v>
      </c>
      <c r="I79" t="s">
        <v>291</v>
      </c>
      <c r="J79" t="s">
        <v>292</v>
      </c>
      <c r="K79" t="s">
        <v>293</v>
      </c>
      <c r="L79" s="33"/>
      <c r="M79" s="34"/>
      <c r="N79" s="19"/>
      <c r="O79" s="19"/>
      <c r="P79" s="19"/>
      <c r="Q79" s="19"/>
      <c r="R79" s="34"/>
      <c r="S79" s="19"/>
      <c r="T79" s="19"/>
      <c r="U79" s="19"/>
      <c r="V79" s="19"/>
      <c r="W79" s="26"/>
      <c r="X79" s="21"/>
      <c r="Y79" s="21"/>
      <c r="Z79" s="21"/>
      <c r="AA79" s="22"/>
      <c r="AB79" s="23"/>
      <c r="AC79" s="21"/>
      <c r="AD79" s="21"/>
      <c r="AE79" s="21"/>
      <c r="AF79" s="35"/>
      <c r="AG79" s="23"/>
      <c r="AH79" s="21"/>
      <c r="AI79" s="21"/>
      <c r="AJ79" s="21"/>
      <c r="AK79" s="25"/>
      <c r="AL79" s="23"/>
      <c r="AM79" s="21"/>
      <c r="AN79" s="21"/>
      <c r="AO79" s="21"/>
      <c r="AP79" s="25"/>
      <c r="AQ79" s="23"/>
      <c r="AR79" s="21"/>
      <c r="AS79" s="21"/>
      <c r="AT79" s="21"/>
      <c r="AU79" s="25"/>
      <c r="AV79" s="23">
        <v>1050</v>
      </c>
      <c r="AW79" s="21">
        <v>700</v>
      </c>
      <c r="AX79" s="21"/>
      <c r="AY79" s="21"/>
      <c r="AZ79" s="25">
        <f t="shared" ref="AZ79:AZ90" si="52">SUM(AV79:AY79)</f>
        <v>1750</v>
      </c>
      <c r="BA79" s="23">
        <v>850</v>
      </c>
      <c r="BB79" s="21">
        <v>900</v>
      </c>
      <c r="BC79" s="21"/>
      <c r="BD79" s="21"/>
      <c r="BE79" s="25">
        <f t="shared" ref="BE79:BE90" si="53">SUM(BA79:BD79)</f>
        <v>1750</v>
      </c>
      <c r="BF79" s="23">
        <v>1400</v>
      </c>
      <c r="BG79" s="21"/>
      <c r="BH79" s="21"/>
      <c r="BI79" s="21"/>
      <c r="BJ79" s="25">
        <f>SUM(BF79:BI79)</f>
        <v>1400</v>
      </c>
      <c r="BK79" s="23"/>
      <c r="BL79" s="21"/>
      <c r="BM79" s="21"/>
      <c r="BN79" s="21"/>
      <c r="BO79" s="25">
        <f t="shared" si="51"/>
        <v>0</v>
      </c>
      <c r="BP79" s="23">
        <v>1425</v>
      </c>
      <c r="BQ79" s="21"/>
      <c r="BR79" s="21"/>
      <c r="BS79" s="21"/>
      <c r="BT79" s="25">
        <f t="shared" si="46"/>
        <v>1425</v>
      </c>
      <c r="BU79" s="21"/>
      <c r="BV79" s="26">
        <v>1650</v>
      </c>
      <c r="BW79" s="21"/>
      <c r="BX79" s="21"/>
      <c r="BY79" s="21"/>
      <c r="BZ79" s="27">
        <f t="shared" si="49"/>
        <v>1650</v>
      </c>
      <c r="CA79" s="26">
        <v>1450</v>
      </c>
      <c r="CB79" s="21"/>
      <c r="CC79" s="21"/>
      <c r="CD79" s="21"/>
      <c r="CE79" s="27">
        <f t="shared" si="35"/>
        <v>1450</v>
      </c>
      <c r="CF79" s="26">
        <v>1450</v>
      </c>
      <c r="CG79" s="21"/>
      <c r="CH79" s="21"/>
      <c r="CI79" s="21"/>
      <c r="CJ79" s="27">
        <f t="shared" si="50"/>
        <v>1450</v>
      </c>
    </row>
    <row r="80" spans="2:88" x14ac:dyDescent="0.25">
      <c r="B80" t="s">
        <v>41</v>
      </c>
      <c r="C80" s="17">
        <v>4139586000</v>
      </c>
      <c r="D80" t="s">
        <v>294</v>
      </c>
      <c r="E80" t="str">
        <f t="shared" si="48"/>
        <v>$2 Billion - $10 Billion</v>
      </c>
      <c r="F80">
        <f>IF(C80="", "", COUNTIF($C$6:C80,"&gt;0"))</f>
        <v>75</v>
      </c>
      <c r="G80" t="str">
        <f>IF(E80&lt;&gt;'[1]By Asset Category'!$B$1,"",COUNTIF($E$6:E80,'[1]By Asset Category'!$B$1))</f>
        <v/>
      </c>
      <c r="H80" t="s">
        <v>295</v>
      </c>
      <c r="I80" t="s">
        <v>121</v>
      </c>
      <c r="J80" t="s">
        <v>296</v>
      </c>
      <c r="K80" t="s">
        <v>297</v>
      </c>
      <c r="L80" s="33" t="s">
        <v>3</v>
      </c>
      <c r="M80" s="34">
        <v>1805</v>
      </c>
      <c r="N80" s="19"/>
      <c r="O80" s="19">
        <v>1000</v>
      </c>
      <c r="P80" s="19"/>
      <c r="Q80" s="19">
        <f t="shared" ref="Q80:Q90" si="54">SUM(M80:P80)</f>
        <v>2805</v>
      </c>
      <c r="R80" s="34">
        <v>1045</v>
      </c>
      <c r="S80" s="19"/>
      <c r="T80" s="19">
        <v>500</v>
      </c>
      <c r="U80" s="19"/>
      <c r="V80" s="19">
        <f t="shared" ref="V80:V90" si="55">SUM(R80:U80)</f>
        <v>1545</v>
      </c>
      <c r="W80" s="26"/>
      <c r="X80" s="21"/>
      <c r="Y80" s="21"/>
      <c r="Z80" s="21"/>
      <c r="AA80" s="22"/>
      <c r="AB80" s="23"/>
      <c r="AC80" s="21"/>
      <c r="AD80" s="21"/>
      <c r="AE80" s="21"/>
      <c r="AF80" s="35"/>
      <c r="AG80" s="23"/>
      <c r="AH80" s="21"/>
      <c r="AI80" s="21"/>
      <c r="AJ80" s="21"/>
      <c r="AK80" s="25"/>
      <c r="AL80" s="23"/>
      <c r="AM80" s="21"/>
      <c r="AN80" s="21"/>
      <c r="AO80" s="21"/>
      <c r="AP80" s="25"/>
      <c r="AQ80" s="23"/>
      <c r="AR80" s="21"/>
      <c r="AS80" s="21"/>
      <c r="AT80" s="21"/>
      <c r="AU80" s="25"/>
      <c r="AV80" s="23"/>
      <c r="AW80" s="21"/>
      <c r="AX80" s="21">
        <v>1500</v>
      </c>
      <c r="AY80" s="21"/>
      <c r="AZ80" s="25">
        <f t="shared" si="52"/>
        <v>1500</v>
      </c>
      <c r="BA80" s="23">
        <v>750</v>
      </c>
      <c r="BB80" s="21"/>
      <c r="BC80" s="21">
        <v>2500</v>
      </c>
      <c r="BD80" s="21"/>
      <c r="BE80" s="25">
        <f t="shared" si="53"/>
        <v>3250</v>
      </c>
      <c r="BF80" s="23">
        <v>956</v>
      </c>
      <c r="BG80" s="21">
        <v>250</v>
      </c>
      <c r="BH80" s="21">
        <v>1500</v>
      </c>
      <c r="BI80" s="21"/>
      <c r="BJ80" s="25">
        <f>SUM(BF80:BI80)</f>
        <v>2706</v>
      </c>
      <c r="BK80" s="23">
        <v>1395</v>
      </c>
      <c r="BL80" s="21"/>
      <c r="BM80" s="21"/>
      <c r="BN80" s="21"/>
      <c r="BO80" s="25">
        <f t="shared" si="51"/>
        <v>1395</v>
      </c>
      <c r="BP80" s="23"/>
      <c r="BQ80" s="21"/>
      <c r="BR80" s="21"/>
      <c r="BS80" s="21"/>
      <c r="BT80" s="25">
        <f t="shared" si="46"/>
        <v>0</v>
      </c>
      <c r="BU80" s="21"/>
      <c r="BV80" s="26">
        <v>2219.98</v>
      </c>
      <c r="BW80" s="21"/>
      <c r="BX80" s="21"/>
      <c r="BY80" s="21"/>
      <c r="BZ80" s="27">
        <f t="shared" si="49"/>
        <v>2219.98</v>
      </c>
      <c r="CA80" s="26">
        <v>2377.02</v>
      </c>
      <c r="CB80" s="21"/>
      <c r="CC80" s="21"/>
      <c r="CD80" s="21"/>
      <c r="CE80" s="27">
        <f t="shared" si="35"/>
        <v>2377.02</v>
      </c>
      <c r="CF80" s="26">
        <v>2377.02</v>
      </c>
      <c r="CG80" s="21"/>
      <c r="CH80" s="21"/>
      <c r="CI80" s="21"/>
      <c r="CJ80" s="27">
        <f t="shared" si="50"/>
        <v>2377.02</v>
      </c>
    </row>
    <row r="81" spans="2:88" x14ac:dyDescent="0.25">
      <c r="B81" t="s">
        <v>58</v>
      </c>
      <c r="C81" s="17">
        <v>3271279000</v>
      </c>
      <c r="D81" t="s">
        <v>298</v>
      </c>
      <c r="E81" t="str">
        <f t="shared" si="48"/>
        <v>$2 Billion - $10 Billion</v>
      </c>
      <c r="F81">
        <f>IF(C81="", "", COUNTIF($C$6:C81,"&gt;0"))</f>
        <v>76</v>
      </c>
      <c r="G81" t="str">
        <f>IF(E81&lt;&gt;'[1]By Asset Category'!$B$1,"",COUNTIF($E$6:E81,'[1]By Asset Category'!$B$1))</f>
        <v/>
      </c>
      <c r="H81" t="s">
        <v>299</v>
      </c>
      <c r="I81" t="s">
        <v>38</v>
      </c>
      <c r="J81" t="s">
        <v>300</v>
      </c>
      <c r="K81" t="s">
        <v>301</v>
      </c>
      <c r="L81" s="33"/>
      <c r="M81" s="34">
        <v>0</v>
      </c>
      <c r="N81" s="19">
        <v>0</v>
      </c>
      <c r="O81" s="19">
        <v>0</v>
      </c>
      <c r="P81" s="19"/>
      <c r="Q81" s="19">
        <f t="shared" si="54"/>
        <v>0</v>
      </c>
      <c r="R81" s="34">
        <v>450</v>
      </c>
      <c r="S81" s="19">
        <v>0</v>
      </c>
      <c r="T81" s="19">
        <v>0</v>
      </c>
      <c r="U81" s="19"/>
      <c r="V81" s="19">
        <f t="shared" si="55"/>
        <v>450</v>
      </c>
      <c r="W81" s="26">
        <v>250</v>
      </c>
      <c r="X81" s="21">
        <v>0</v>
      </c>
      <c r="Y81" s="21">
        <v>0</v>
      </c>
      <c r="Z81" s="21"/>
      <c r="AA81" s="22">
        <f t="shared" ref="AA81:AA90" si="56">SUM(W81:Z81)</f>
        <v>250</v>
      </c>
      <c r="AB81" s="23">
        <v>250</v>
      </c>
      <c r="AC81" s="21"/>
      <c r="AD81" s="21"/>
      <c r="AE81" s="21"/>
      <c r="AF81" s="35">
        <f t="shared" ref="AF81:AF90" si="57">SUM(AB81:AE81)</f>
        <v>250</v>
      </c>
      <c r="AG81" s="23"/>
      <c r="AH81" s="21"/>
      <c r="AI81" s="21"/>
      <c r="AJ81" s="21"/>
      <c r="AK81" s="25">
        <f t="shared" ref="AK81:AK90" si="58">SUM(AG81:AJ81)</f>
        <v>0</v>
      </c>
      <c r="AL81" s="23"/>
      <c r="AM81" s="21"/>
      <c r="AN81" s="21">
        <v>500</v>
      </c>
      <c r="AO81" s="21"/>
      <c r="AP81" s="25">
        <f t="shared" ref="AP81:AP90" si="59">SUM(AL81:AO81)</f>
        <v>500</v>
      </c>
      <c r="AQ81" s="23"/>
      <c r="AR81" s="21"/>
      <c r="AS81" s="21">
        <v>500</v>
      </c>
      <c r="AT81" s="21"/>
      <c r="AU81" s="25">
        <f t="shared" ref="AU81:AU90" si="60">SUM(AQ81:AT81)</f>
        <v>500</v>
      </c>
      <c r="AV81" s="23"/>
      <c r="AW81" s="21"/>
      <c r="AX81" s="21"/>
      <c r="AY81" s="21"/>
      <c r="AZ81" s="25">
        <f t="shared" si="52"/>
        <v>0</v>
      </c>
      <c r="BA81" s="23"/>
      <c r="BB81" s="21"/>
      <c r="BC81" s="21"/>
      <c r="BD81" s="21"/>
      <c r="BE81" s="25">
        <f t="shared" si="53"/>
        <v>0</v>
      </c>
      <c r="BF81" s="23"/>
      <c r="BG81" s="21"/>
      <c r="BH81" s="21"/>
      <c r="BI81" s="21"/>
      <c r="BJ81" s="25">
        <f>SUM(BF81:BI81)</f>
        <v>0</v>
      </c>
      <c r="BK81" s="23"/>
      <c r="BL81" s="21"/>
      <c r="BM81" s="21"/>
      <c r="BN81" s="21"/>
      <c r="BO81" s="25">
        <f t="shared" si="51"/>
        <v>0</v>
      </c>
      <c r="BP81" s="23"/>
      <c r="BQ81" s="21"/>
      <c r="BR81" s="21"/>
      <c r="BS81" s="21"/>
      <c r="BT81" s="25">
        <f t="shared" si="46"/>
        <v>0</v>
      </c>
      <c r="BU81" s="21"/>
      <c r="BV81" s="26"/>
      <c r="BW81" s="21"/>
      <c r="BX81" s="21"/>
      <c r="BY81" s="21"/>
      <c r="BZ81" s="27">
        <f t="shared" si="49"/>
        <v>0</v>
      </c>
      <c r="CA81" s="26"/>
      <c r="CB81" s="21"/>
      <c r="CC81" s="21"/>
      <c r="CD81" s="21"/>
      <c r="CE81" s="27">
        <f t="shared" si="35"/>
        <v>0</v>
      </c>
      <c r="CF81" s="26"/>
      <c r="CG81" s="21"/>
      <c r="CH81" s="21"/>
      <c r="CI81" s="21"/>
      <c r="CJ81" s="27">
        <f t="shared" si="50"/>
        <v>0</v>
      </c>
    </row>
    <row r="82" spans="2:88" x14ac:dyDescent="0.25">
      <c r="B82" t="s">
        <v>53</v>
      </c>
      <c r="C82" s="61">
        <v>461822000</v>
      </c>
      <c r="D82" s="30" t="s">
        <v>302</v>
      </c>
      <c r="E82" t="str">
        <f t="shared" si="48"/>
        <v>$350 Million - $800 Million</v>
      </c>
      <c r="F82">
        <f>IF(C82="", "", COUNTIF($C$6:C82,"&gt;0"))</f>
        <v>77</v>
      </c>
      <c r="G82" t="str">
        <f>IF(E82&lt;&gt;'[1]By Asset Category'!$B$1,"",COUNTIF($E$6:E82,'[1]By Asset Category'!$B$1))</f>
        <v/>
      </c>
      <c r="H82" t="s">
        <v>303</v>
      </c>
      <c r="I82" t="s">
        <v>38</v>
      </c>
      <c r="J82" t="s">
        <v>304</v>
      </c>
      <c r="K82" t="s">
        <v>305</v>
      </c>
      <c r="L82" s="33"/>
      <c r="M82" s="34">
        <v>0</v>
      </c>
      <c r="N82" s="19">
        <v>0</v>
      </c>
      <c r="O82" s="19">
        <v>0</v>
      </c>
      <c r="P82" s="19">
        <v>0</v>
      </c>
      <c r="Q82" s="19">
        <f t="shared" si="54"/>
        <v>0</v>
      </c>
      <c r="R82" s="34">
        <v>0</v>
      </c>
      <c r="S82" s="19">
        <v>0</v>
      </c>
      <c r="T82" s="19">
        <v>0</v>
      </c>
      <c r="U82" s="19">
        <v>0</v>
      </c>
      <c r="V82" s="19">
        <f t="shared" si="55"/>
        <v>0</v>
      </c>
      <c r="W82" s="26">
        <v>0</v>
      </c>
      <c r="X82" s="21">
        <v>0</v>
      </c>
      <c r="Y82" s="21">
        <v>0</v>
      </c>
      <c r="Z82" s="21"/>
      <c r="AA82" s="22">
        <f t="shared" si="56"/>
        <v>0</v>
      </c>
      <c r="AB82" s="23"/>
      <c r="AC82" s="21"/>
      <c r="AD82" s="21"/>
      <c r="AE82" s="21"/>
      <c r="AF82" s="35">
        <f t="shared" si="57"/>
        <v>0</v>
      </c>
      <c r="AG82" s="23"/>
      <c r="AH82" s="21"/>
      <c r="AI82" s="21"/>
      <c r="AJ82" s="21"/>
      <c r="AK82" s="25">
        <f t="shared" si="58"/>
        <v>0</v>
      </c>
      <c r="AL82" s="23"/>
      <c r="AM82" s="21"/>
      <c r="AN82" s="21"/>
      <c r="AO82" s="21"/>
      <c r="AP82" s="25">
        <f t="shared" si="59"/>
        <v>0</v>
      </c>
      <c r="AQ82" s="23"/>
      <c r="AR82" s="21"/>
      <c r="AS82" s="21"/>
      <c r="AT82" s="21"/>
      <c r="AU82" s="25">
        <f t="shared" si="60"/>
        <v>0</v>
      </c>
      <c r="AV82" s="23"/>
      <c r="AW82" s="21"/>
      <c r="AX82" s="21"/>
      <c r="AY82" s="21"/>
      <c r="AZ82" s="25">
        <f t="shared" si="52"/>
        <v>0</v>
      </c>
      <c r="BA82" s="23"/>
      <c r="BB82" s="21"/>
      <c r="BC82" s="21"/>
      <c r="BD82" s="21"/>
      <c r="BE82" s="25">
        <f t="shared" si="53"/>
        <v>0</v>
      </c>
      <c r="BF82" s="23"/>
      <c r="BG82" s="21"/>
      <c r="BH82" s="21"/>
      <c r="BI82" s="21"/>
      <c r="BJ82" s="25">
        <f>SUM(BF82:BI82)</f>
        <v>0</v>
      </c>
      <c r="BK82" s="23"/>
      <c r="BL82" s="21"/>
      <c r="BM82" s="21"/>
      <c r="BN82" s="21"/>
      <c r="BO82" s="25">
        <f t="shared" si="51"/>
        <v>0</v>
      </c>
      <c r="BP82" s="23"/>
      <c r="BQ82" s="21"/>
      <c r="BR82" s="21"/>
      <c r="BS82" s="21"/>
      <c r="BT82" s="25">
        <f t="shared" si="46"/>
        <v>0</v>
      </c>
      <c r="BU82" s="21"/>
      <c r="BV82" s="26"/>
      <c r="BW82" s="21"/>
      <c r="BX82" s="21"/>
      <c r="BY82" s="21"/>
      <c r="BZ82" s="27">
        <f t="shared" si="49"/>
        <v>0</v>
      </c>
      <c r="CA82" s="26"/>
      <c r="CB82" s="21"/>
      <c r="CC82" s="21"/>
      <c r="CD82" s="21"/>
      <c r="CE82" s="27">
        <f t="shared" si="35"/>
        <v>0</v>
      </c>
      <c r="CF82" s="26"/>
      <c r="CG82" s="21"/>
      <c r="CH82" s="21"/>
      <c r="CI82" s="21"/>
      <c r="CJ82" s="27">
        <f t="shared" si="50"/>
        <v>0</v>
      </c>
    </row>
    <row r="83" spans="2:88" x14ac:dyDescent="0.25">
      <c r="B83" t="s">
        <v>47</v>
      </c>
      <c r="C83" s="17">
        <v>415513499000</v>
      </c>
      <c r="D83" t="s">
        <v>306</v>
      </c>
      <c r="E83" t="str">
        <f t="shared" si="48"/>
        <v>Over $10 Billion</v>
      </c>
      <c r="F83">
        <f>IF(C83="", "", COUNTIF($C$6:C83,"&gt;0"))</f>
        <v>78</v>
      </c>
      <c r="G83" t="str">
        <f>IF(E83&lt;&gt;'[1]By Asset Category'!$B$1,"",COUNTIF($E$6:E83,'[1]By Asset Category'!$B$1))</f>
        <v/>
      </c>
      <c r="H83" t="s">
        <v>307</v>
      </c>
      <c r="I83" t="s">
        <v>308</v>
      </c>
      <c r="J83" t="s">
        <v>309</v>
      </c>
      <c r="K83" t="s">
        <v>310</v>
      </c>
      <c r="L83" s="33"/>
      <c r="M83" s="34">
        <v>0</v>
      </c>
      <c r="N83" s="19">
        <v>0</v>
      </c>
      <c r="O83" s="19">
        <v>0</v>
      </c>
      <c r="P83" s="19">
        <v>0</v>
      </c>
      <c r="Q83" s="19">
        <f t="shared" si="54"/>
        <v>0</v>
      </c>
      <c r="R83" s="34">
        <v>0</v>
      </c>
      <c r="S83" s="19">
        <v>0</v>
      </c>
      <c r="T83" s="19">
        <v>0</v>
      </c>
      <c r="U83" s="19">
        <v>0</v>
      </c>
      <c r="V83" s="19">
        <f t="shared" si="55"/>
        <v>0</v>
      </c>
      <c r="W83" s="26">
        <v>0</v>
      </c>
      <c r="X83" s="21">
        <v>0</v>
      </c>
      <c r="Y83" s="21">
        <v>0</v>
      </c>
      <c r="Z83" s="21"/>
      <c r="AA83" s="22">
        <f t="shared" si="56"/>
        <v>0</v>
      </c>
      <c r="AB83" s="23"/>
      <c r="AC83" s="21"/>
      <c r="AD83" s="21"/>
      <c r="AE83" s="21"/>
      <c r="AF83" s="35">
        <f t="shared" si="57"/>
        <v>0</v>
      </c>
      <c r="AG83" s="23"/>
      <c r="AH83" s="21"/>
      <c r="AI83" s="21"/>
      <c r="AJ83" s="21"/>
      <c r="AK83" s="25">
        <f t="shared" si="58"/>
        <v>0</v>
      </c>
      <c r="AL83" s="23"/>
      <c r="AM83" s="21"/>
      <c r="AN83" s="21"/>
      <c r="AO83" s="21"/>
      <c r="AP83" s="25">
        <f t="shared" si="59"/>
        <v>0</v>
      </c>
      <c r="AQ83" s="23"/>
      <c r="AR83" s="21"/>
      <c r="AS83" s="21"/>
      <c r="AT83" s="21"/>
      <c r="AU83" s="25">
        <f t="shared" si="60"/>
        <v>0</v>
      </c>
      <c r="AV83" s="23"/>
      <c r="AW83" s="21"/>
      <c r="AX83" s="21"/>
      <c r="AY83" s="21"/>
      <c r="AZ83" s="25">
        <f t="shared" si="52"/>
        <v>0</v>
      </c>
      <c r="BA83" s="23"/>
      <c r="BB83" s="21"/>
      <c r="BC83" s="21"/>
      <c r="BD83" s="21"/>
      <c r="BE83" s="25">
        <f t="shared" si="53"/>
        <v>0</v>
      </c>
      <c r="BF83" s="23"/>
      <c r="BG83" s="21"/>
      <c r="BH83" s="21"/>
      <c r="BI83" s="21"/>
      <c r="BJ83" s="25"/>
      <c r="BK83" s="23"/>
      <c r="BL83" s="21"/>
      <c r="BM83" s="21"/>
      <c r="BN83" s="21"/>
      <c r="BO83" s="25"/>
      <c r="BP83" s="23">
        <v>250</v>
      </c>
      <c r="BQ83" s="21"/>
      <c r="BR83" s="21">
        <v>500</v>
      </c>
      <c r="BS83" s="21"/>
      <c r="BT83" s="25">
        <f t="shared" si="46"/>
        <v>750</v>
      </c>
      <c r="BU83" s="21">
        <v>250</v>
      </c>
      <c r="BV83" s="26"/>
      <c r="BW83" s="21"/>
      <c r="BX83" s="21"/>
      <c r="BY83" s="21"/>
      <c r="BZ83" s="27">
        <f t="shared" si="49"/>
        <v>0</v>
      </c>
      <c r="CA83" s="26"/>
      <c r="CB83" s="21"/>
      <c r="CC83" s="21"/>
      <c r="CD83" s="21"/>
      <c r="CE83" s="27">
        <f t="shared" si="35"/>
        <v>0</v>
      </c>
      <c r="CF83" s="26"/>
      <c r="CG83" s="21"/>
      <c r="CH83" s="21"/>
      <c r="CI83" s="21"/>
      <c r="CJ83" s="27">
        <f t="shared" si="50"/>
        <v>0</v>
      </c>
    </row>
    <row r="84" spans="2:88" x14ac:dyDescent="0.25">
      <c r="B84" t="s">
        <v>35</v>
      </c>
      <c r="C84" s="17">
        <v>172480000</v>
      </c>
      <c r="D84" t="s">
        <v>311</v>
      </c>
      <c r="E84" t="str">
        <f t="shared" si="48"/>
        <v>Less than $350 Million</v>
      </c>
      <c r="F84">
        <f>IF(C84="", "", COUNTIF($C$6:C84,"&gt;0"))</f>
        <v>79</v>
      </c>
      <c r="G84" t="str">
        <f>IF(E84&lt;&gt;'[1]By Asset Category'!$B$1,"",COUNTIF($E$6:E84,'[1]By Asset Category'!$B$1))</f>
        <v/>
      </c>
      <c r="H84" t="s">
        <v>312</v>
      </c>
      <c r="I84" t="s">
        <v>38</v>
      </c>
      <c r="J84" t="s">
        <v>313</v>
      </c>
      <c r="K84" t="s">
        <v>314</v>
      </c>
      <c r="L84" s="33"/>
      <c r="M84" s="34">
        <v>0</v>
      </c>
      <c r="N84" s="19">
        <v>0</v>
      </c>
      <c r="O84" s="19">
        <v>500</v>
      </c>
      <c r="P84" s="19"/>
      <c r="Q84" s="19">
        <f t="shared" si="54"/>
        <v>500</v>
      </c>
      <c r="R84" s="34">
        <v>0</v>
      </c>
      <c r="S84" s="19">
        <v>0</v>
      </c>
      <c r="T84" s="19">
        <v>500</v>
      </c>
      <c r="U84" s="19"/>
      <c r="V84" s="19">
        <f t="shared" si="55"/>
        <v>500</v>
      </c>
      <c r="W84" s="26">
        <v>0</v>
      </c>
      <c r="X84" s="21">
        <v>0</v>
      </c>
      <c r="Y84" s="21">
        <v>1000</v>
      </c>
      <c r="Z84" s="21"/>
      <c r="AA84" s="22">
        <f t="shared" si="56"/>
        <v>1000</v>
      </c>
      <c r="AB84" s="23"/>
      <c r="AC84" s="21"/>
      <c r="AD84" s="21">
        <v>1000</v>
      </c>
      <c r="AE84" s="21"/>
      <c r="AF84" s="35">
        <f t="shared" si="57"/>
        <v>1000</v>
      </c>
      <c r="AG84" s="23"/>
      <c r="AH84" s="21"/>
      <c r="AI84" s="21">
        <v>500</v>
      </c>
      <c r="AJ84" s="21"/>
      <c r="AK84" s="25">
        <f t="shared" si="58"/>
        <v>500</v>
      </c>
      <c r="AL84" s="23"/>
      <c r="AM84" s="21"/>
      <c r="AN84" s="21"/>
      <c r="AO84" s="21"/>
      <c r="AP84" s="25">
        <f t="shared" si="59"/>
        <v>0</v>
      </c>
      <c r="AQ84" s="23"/>
      <c r="AR84" s="21"/>
      <c r="AS84" s="21">
        <v>500</v>
      </c>
      <c r="AT84" s="21"/>
      <c r="AU84" s="25">
        <f t="shared" si="60"/>
        <v>500</v>
      </c>
      <c r="AV84" s="23"/>
      <c r="AW84" s="21"/>
      <c r="AX84" s="21">
        <v>500</v>
      </c>
      <c r="AY84" s="21"/>
      <c r="AZ84" s="25">
        <f t="shared" si="52"/>
        <v>500</v>
      </c>
      <c r="BA84" s="23"/>
      <c r="BB84" s="21"/>
      <c r="BC84" s="21"/>
      <c r="BD84" s="21"/>
      <c r="BE84" s="25">
        <f t="shared" si="53"/>
        <v>0</v>
      </c>
      <c r="BF84" s="23"/>
      <c r="BG84" s="21"/>
      <c r="BH84" s="21">
        <v>500</v>
      </c>
      <c r="BI84" s="21"/>
      <c r="BJ84" s="25">
        <f>SUM(BF84:BH84)</f>
        <v>500</v>
      </c>
      <c r="BK84" s="23"/>
      <c r="BL84" s="21"/>
      <c r="BM84" s="21">
        <v>500</v>
      </c>
      <c r="BN84" s="21"/>
      <c r="BO84" s="25">
        <f>SUM(BK84:BM84)</f>
        <v>500</v>
      </c>
      <c r="BP84" s="23">
        <v>312</v>
      </c>
      <c r="BQ84" s="21">
        <v>449</v>
      </c>
      <c r="BR84" s="21"/>
      <c r="BS84" s="21"/>
      <c r="BT84" s="25">
        <f t="shared" si="46"/>
        <v>761</v>
      </c>
      <c r="BU84" s="21">
        <v>112</v>
      </c>
      <c r="BV84" s="26"/>
      <c r="BW84" s="21">
        <v>250</v>
      </c>
      <c r="BX84" s="21">
        <v>500</v>
      </c>
      <c r="BY84" s="21"/>
      <c r="BZ84" s="27">
        <f t="shared" si="49"/>
        <v>750</v>
      </c>
      <c r="CA84" s="26">
        <v>0</v>
      </c>
      <c r="CB84" s="21">
        <v>300</v>
      </c>
      <c r="CC84" s="21">
        <v>1000</v>
      </c>
      <c r="CD84" s="21"/>
      <c r="CE84" s="27">
        <f t="shared" si="35"/>
        <v>1300</v>
      </c>
      <c r="CF84" s="26">
        <v>0</v>
      </c>
      <c r="CG84" s="21">
        <v>300</v>
      </c>
      <c r="CH84" s="21">
        <v>1000</v>
      </c>
      <c r="CI84" s="21"/>
      <c r="CJ84" s="27">
        <f t="shared" si="50"/>
        <v>1300</v>
      </c>
    </row>
    <row r="85" spans="2:88" x14ac:dyDescent="0.25">
      <c r="B85" t="s">
        <v>53</v>
      </c>
      <c r="C85" s="17">
        <v>525210000</v>
      </c>
      <c r="D85" t="s">
        <v>315</v>
      </c>
      <c r="E85" t="str">
        <f t="shared" si="48"/>
        <v>$350 Million - $800 Million</v>
      </c>
      <c r="F85">
        <f>IF(C85="", "", COUNTIF($C$6:C85,"&gt;0"))</f>
        <v>80</v>
      </c>
      <c r="G85" t="str">
        <f>IF(E85&lt;&gt;'[1]By Asset Category'!$B$1,"",COUNTIF($E$6:E85,'[1]By Asset Category'!$B$1))</f>
        <v/>
      </c>
      <c r="H85" s="30" t="s">
        <v>316</v>
      </c>
      <c r="I85" t="s">
        <v>38</v>
      </c>
      <c r="L85" s="33" t="s">
        <v>46</v>
      </c>
      <c r="M85" s="34">
        <v>0</v>
      </c>
      <c r="N85" s="19">
        <v>0</v>
      </c>
      <c r="O85" s="19">
        <v>500</v>
      </c>
      <c r="P85" s="19">
        <v>0</v>
      </c>
      <c r="Q85" s="19">
        <f t="shared" si="54"/>
        <v>500</v>
      </c>
      <c r="R85" s="34">
        <v>0</v>
      </c>
      <c r="S85" s="19">
        <v>0</v>
      </c>
      <c r="T85" s="19">
        <v>0</v>
      </c>
      <c r="U85" s="19">
        <v>0</v>
      </c>
      <c r="V85" s="19">
        <f t="shared" si="55"/>
        <v>0</v>
      </c>
      <c r="W85" s="26">
        <v>0</v>
      </c>
      <c r="X85" s="21">
        <v>0</v>
      </c>
      <c r="Y85" s="21">
        <v>500</v>
      </c>
      <c r="Z85" s="21"/>
      <c r="AA85" s="22">
        <f t="shared" si="56"/>
        <v>500</v>
      </c>
      <c r="AB85" s="23"/>
      <c r="AC85" s="21"/>
      <c r="AD85" s="21">
        <v>1000</v>
      </c>
      <c r="AE85" s="21"/>
      <c r="AF85" s="35">
        <f t="shared" si="57"/>
        <v>1000</v>
      </c>
      <c r="AG85" s="23"/>
      <c r="AH85" s="21"/>
      <c r="AI85" s="21">
        <v>1000</v>
      </c>
      <c r="AJ85" s="21"/>
      <c r="AK85" s="25">
        <f t="shared" si="58"/>
        <v>1000</v>
      </c>
      <c r="AL85" s="23"/>
      <c r="AM85" s="21"/>
      <c r="AN85" s="21">
        <v>1000</v>
      </c>
      <c r="AO85" s="21"/>
      <c r="AP85" s="25">
        <f t="shared" si="59"/>
        <v>1000</v>
      </c>
      <c r="AQ85" s="23">
        <v>300</v>
      </c>
      <c r="AR85" s="21">
        <v>700</v>
      </c>
      <c r="AS85" s="21">
        <v>1500</v>
      </c>
      <c r="AT85" s="21"/>
      <c r="AU85" s="25">
        <f t="shared" si="60"/>
        <v>2500</v>
      </c>
      <c r="AV85" s="23">
        <v>100</v>
      </c>
      <c r="AW85" s="21">
        <v>900</v>
      </c>
      <c r="AX85" s="21">
        <v>2000</v>
      </c>
      <c r="AY85" s="21"/>
      <c r="AZ85" s="25">
        <f t="shared" si="52"/>
        <v>3000</v>
      </c>
      <c r="BA85" s="23">
        <v>100</v>
      </c>
      <c r="BB85" s="21">
        <v>1000</v>
      </c>
      <c r="BC85" s="21">
        <v>1500</v>
      </c>
      <c r="BD85" s="21"/>
      <c r="BE85" s="25">
        <f t="shared" si="53"/>
        <v>2600</v>
      </c>
      <c r="BF85" s="23">
        <v>100</v>
      </c>
      <c r="BG85" s="21">
        <v>1100</v>
      </c>
      <c r="BH85" s="21">
        <v>1500</v>
      </c>
      <c r="BI85" s="21"/>
      <c r="BJ85" s="25">
        <f>SUM(BF85:BI85)</f>
        <v>2700</v>
      </c>
      <c r="BK85" s="23">
        <v>100</v>
      </c>
      <c r="BL85" s="21">
        <v>1100</v>
      </c>
      <c r="BM85" s="21">
        <v>2000</v>
      </c>
      <c r="BN85" s="21"/>
      <c r="BO85" s="25">
        <f>SUM(BK85:BN85)</f>
        <v>3200</v>
      </c>
      <c r="BP85" s="23">
        <v>12045</v>
      </c>
      <c r="BQ85" s="21">
        <v>11600</v>
      </c>
      <c r="BR85" s="21">
        <v>6500</v>
      </c>
      <c r="BS85" s="21"/>
      <c r="BT85" s="25">
        <f t="shared" si="46"/>
        <v>30145</v>
      </c>
      <c r="BU85" s="21">
        <v>1500</v>
      </c>
      <c r="BV85" s="26">
        <v>300</v>
      </c>
      <c r="BW85" s="21">
        <v>850</v>
      </c>
      <c r="BX85" s="21">
        <v>5000</v>
      </c>
      <c r="BY85" s="21"/>
      <c r="BZ85" s="27">
        <f t="shared" si="49"/>
        <v>6150</v>
      </c>
      <c r="CA85" s="26">
        <v>250</v>
      </c>
      <c r="CB85" s="21">
        <v>1000</v>
      </c>
      <c r="CC85" s="21">
        <v>5000</v>
      </c>
      <c r="CD85" s="21"/>
      <c r="CE85" s="27">
        <f t="shared" si="35"/>
        <v>6250</v>
      </c>
      <c r="CF85" s="26">
        <v>250</v>
      </c>
      <c r="CG85" s="21">
        <v>1000</v>
      </c>
      <c r="CH85" s="21">
        <v>5000</v>
      </c>
      <c r="CI85" s="21"/>
      <c r="CJ85" s="27">
        <f t="shared" si="50"/>
        <v>6250</v>
      </c>
    </row>
    <row r="86" spans="2:88" x14ac:dyDescent="0.25">
      <c r="B86" t="s">
        <v>35</v>
      </c>
      <c r="C86" s="17">
        <v>658953000</v>
      </c>
      <c r="D86" t="s">
        <v>317</v>
      </c>
      <c r="E86" t="str">
        <f t="shared" si="48"/>
        <v>$350 Million - $800 Million</v>
      </c>
      <c r="F86">
        <f>IF(C86="", "", COUNTIF($C$6:C86,"&gt;0"))</f>
        <v>81</v>
      </c>
      <c r="G86" t="str">
        <f>IF(E86&lt;&gt;'[1]By Asset Category'!$B$1,"",COUNTIF($E$6:E86,'[1]By Asset Category'!$B$1))</f>
        <v/>
      </c>
      <c r="H86" t="s">
        <v>318</v>
      </c>
      <c r="I86" t="s">
        <v>319</v>
      </c>
      <c r="L86" s="33" t="s">
        <v>46</v>
      </c>
      <c r="M86" s="34">
        <v>6920</v>
      </c>
      <c r="N86" s="19">
        <v>8750</v>
      </c>
      <c r="O86" s="19">
        <v>3750</v>
      </c>
      <c r="P86" s="19"/>
      <c r="Q86" s="19">
        <f t="shared" si="54"/>
        <v>19420</v>
      </c>
      <c r="R86" s="34">
        <v>7945</v>
      </c>
      <c r="S86" s="19">
        <v>8400</v>
      </c>
      <c r="T86" s="19">
        <v>4000</v>
      </c>
      <c r="U86" s="19"/>
      <c r="V86" s="19">
        <f t="shared" si="55"/>
        <v>20345</v>
      </c>
      <c r="W86" s="26">
        <v>8710</v>
      </c>
      <c r="X86" s="21">
        <v>8700</v>
      </c>
      <c r="Y86" s="21">
        <v>4250</v>
      </c>
      <c r="Z86" s="21"/>
      <c r="AA86" s="22">
        <f t="shared" si="56"/>
        <v>21660</v>
      </c>
      <c r="AB86" s="23">
        <v>8955</v>
      </c>
      <c r="AC86" s="21">
        <v>9200</v>
      </c>
      <c r="AD86" s="21">
        <v>4500</v>
      </c>
      <c r="AE86" s="21"/>
      <c r="AF86" s="35">
        <f t="shared" si="57"/>
        <v>22655</v>
      </c>
      <c r="AG86" s="23">
        <v>9925</v>
      </c>
      <c r="AH86" s="21">
        <v>10350</v>
      </c>
      <c r="AI86" s="21">
        <v>4750</v>
      </c>
      <c r="AJ86" s="21"/>
      <c r="AK86" s="25">
        <f t="shared" si="58"/>
        <v>25025</v>
      </c>
      <c r="AL86" s="23">
        <v>10630</v>
      </c>
      <c r="AM86" s="21">
        <v>10800</v>
      </c>
      <c r="AN86" s="21">
        <v>5000</v>
      </c>
      <c r="AO86" s="21"/>
      <c r="AP86" s="25">
        <f t="shared" si="59"/>
        <v>26430</v>
      </c>
      <c r="AQ86" s="23">
        <v>14195</v>
      </c>
      <c r="AR86" s="21">
        <v>7650</v>
      </c>
      <c r="AS86" s="21">
        <v>5250</v>
      </c>
      <c r="AT86" s="21"/>
      <c r="AU86" s="25">
        <f t="shared" si="60"/>
        <v>27095</v>
      </c>
      <c r="AV86" s="23">
        <v>12085</v>
      </c>
      <c r="AW86" s="21">
        <v>8200</v>
      </c>
      <c r="AX86" s="21">
        <v>5750</v>
      </c>
      <c r="AY86" s="21"/>
      <c r="AZ86" s="25">
        <f t="shared" si="52"/>
        <v>26035</v>
      </c>
      <c r="BA86" s="23">
        <v>11165</v>
      </c>
      <c r="BB86" s="21">
        <v>9650</v>
      </c>
      <c r="BC86" s="21">
        <v>5750</v>
      </c>
      <c r="BD86" s="21"/>
      <c r="BE86" s="25">
        <f t="shared" si="53"/>
        <v>26565</v>
      </c>
      <c r="BF86" s="23">
        <v>11725</v>
      </c>
      <c r="BG86" s="21">
        <v>7800</v>
      </c>
      <c r="BH86" s="21">
        <v>6000</v>
      </c>
      <c r="BI86" s="21"/>
      <c r="BJ86" s="25">
        <f>SUM(BF86:BH86)</f>
        <v>25525</v>
      </c>
      <c r="BK86" s="23">
        <v>12846</v>
      </c>
      <c r="BL86" s="21">
        <v>7300</v>
      </c>
      <c r="BM86" s="21">
        <v>6250</v>
      </c>
      <c r="BN86" s="21"/>
      <c r="BO86" s="25">
        <f>SUM(BK86:BM86)</f>
        <v>26396</v>
      </c>
      <c r="BP86" s="23"/>
      <c r="BQ86" s="21"/>
      <c r="BR86" s="21"/>
      <c r="BS86" s="21"/>
      <c r="BT86" s="25">
        <f t="shared" si="46"/>
        <v>0</v>
      </c>
      <c r="BU86" s="21"/>
      <c r="BV86" s="26">
        <v>10865</v>
      </c>
      <c r="BW86" s="21">
        <v>11400</v>
      </c>
      <c r="BX86" s="21">
        <v>7000</v>
      </c>
      <c r="BY86" s="21"/>
      <c r="BZ86" s="27">
        <f t="shared" si="49"/>
        <v>29265</v>
      </c>
      <c r="CA86" s="26"/>
      <c r="CB86" s="21"/>
      <c r="CC86" s="21"/>
      <c r="CD86" s="21"/>
      <c r="CE86" s="27">
        <f t="shared" si="35"/>
        <v>0</v>
      </c>
      <c r="CF86" s="26"/>
      <c r="CG86" s="21"/>
      <c r="CH86" s="21"/>
      <c r="CI86" s="21"/>
      <c r="CJ86" s="27">
        <f t="shared" si="50"/>
        <v>0</v>
      </c>
    </row>
    <row r="87" spans="2:88" x14ac:dyDescent="0.25">
      <c r="B87" t="s">
        <v>53</v>
      </c>
      <c r="C87" s="17">
        <v>54594000</v>
      </c>
      <c r="D87" t="s">
        <v>320</v>
      </c>
      <c r="E87" t="str">
        <f t="shared" si="48"/>
        <v>Less than $350 Million</v>
      </c>
      <c r="F87">
        <f>IF(C87="", "", COUNTIF($C$6:C87,"&gt;0"))</f>
        <v>82</v>
      </c>
      <c r="G87" t="str">
        <f>IF(E87&lt;&gt;'[1]By Asset Category'!$B$1,"",COUNTIF($E$6:E87,'[1]By Asset Category'!$B$1))</f>
        <v/>
      </c>
      <c r="H87" t="s">
        <v>321</v>
      </c>
      <c r="I87" t="s">
        <v>91</v>
      </c>
      <c r="J87" t="s">
        <v>322</v>
      </c>
      <c r="K87" t="s">
        <v>323</v>
      </c>
      <c r="L87" s="33"/>
      <c r="M87" s="34">
        <v>0</v>
      </c>
      <c r="N87" s="19">
        <v>0</v>
      </c>
      <c r="O87" s="19">
        <v>0</v>
      </c>
      <c r="P87" s="19">
        <v>0</v>
      </c>
      <c r="Q87" s="19">
        <f t="shared" si="54"/>
        <v>0</v>
      </c>
      <c r="R87" s="34">
        <v>0</v>
      </c>
      <c r="S87" s="19">
        <v>0</v>
      </c>
      <c r="T87" s="19">
        <v>0</v>
      </c>
      <c r="U87" s="19">
        <v>0</v>
      </c>
      <c r="V87" s="19">
        <f t="shared" si="55"/>
        <v>0</v>
      </c>
      <c r="W87" s="26">
        <v>0</v>
      </c>
      <c r="X87" s="21">
        <v>0</v>
      </c>
      <c r="Y87" s="21">
        <v>0</v>
      </c>
      <c r="Z87" s="21"/>
      <c r="AA87" s="22">
        <f t="shared" si="56"/>
        <v>0</v>
      </c>
      <c r="AB87" s="23"/>
      <c r="AC87" s="21"/>
      <c r="AD87" s="21"/>
      <c r="AE87" s="21"/>
      <c r="AF87" s="35">
        <f t="shared" si="57"/>
        <v>0</v>
      </c>
      <c r="AG87" s="23"/>
      <c r="AH87" s="21"/>
      <c r="AI87" s="21"/>
      <c r="AJ87" s="21"/>
      <c r="AK87" s="25">
        <f t="shared" si="58"/>
        <v>0</v>
      </c>
      <c r="AL87" s="23"/>
      <c r="AM87" s="21"/>
      <c r="AN87" s="21"/>
      <c r="AO87" s="21"/>
      <c r="AP87" s="25">
        <f t="shared" si="59"/>
        <v>0</v>
      </c>
      <c r="AQ87" s="23"/>
      <c r="AR87" s="21"/>
      <c r="AS87" s="21"/>
      <c r="AT87" s="21"/>
      <c r="AU87" s="25">
        <f t="shared" si="60"/>
        <v>0</v>
      </c>
      <c r="AV87" s="23"/>
      <c r="AW87" s="21"/>
      <c r="AX87" s="21"/>
      <c r="AY87" s="21"/>
      <c r="AZ87" s="25">
        <f t="shared" si="52"/>
        <v>0</v>
      </c>
      <c r="BA87" s="23"/>
      <c r="BB87" s="21"/>
      <c r="BC87" s="21"/>
      <c r="BD87" s="21"/>
      <c r="BE87" s="25">
        <f t="shared" si="53"/>
        <v>0</v>
      </c>
      <c r="BF87" s="23"/>
      <c r="BG87" s="21"/>
      <c r="BH87" s="21"/>
      <c r="BI87" s="21"/>
      <c r="BJ87" s="25">
        <f>SUM(BF87:BI87)</f>
        <v>0</v>
      </c>
      <c r="BK87" s="23"/>
      <c r="BL87" s="21"/>
      <c r="BM87" s="21"/>
      <c r="BN87" s="21"/>
      <c r="BO87" s="25">
        <f>SUM(BK87:BN87)</f>
        <v>0</v>
      </c>
      <c r="BP87" s="23"/>
      <c r="BQ87" s="21"/>
      <c r="BR87" s="21">
        <v>1000</v>
      </c>
      <c r="BS87" s="21"/>
      <c r="BT87" s="25">
        <f t="shared" si="46"/>
        <v>1000</v>
      </c>
      <c r="BU87" s="21"/>
      <c r="BV87" s="26"/>
      <c r="BW87" s="21"/>
      <c r="BX87" s="21"/>
      <c r="BY87" s="21"/>
      <c r="BZ87" s="27">
        <f t="shared" si="49"/>
        <v>0</v>
      </c>
      <c r="CA87" s="26"/>
      <c r="CB87" s="21"/>
      <c r="CC87" s="21"/>
      <c r="CD87" s="21"/>
      <c r="CE87" s="27">
        <f t="shared" si="35"/>
        <v>0</v>
      </c>
      <c r="CF87" s="26"/>
      <c r="CG87" s="21"/>
      <c r="CH87" s="21"/>
      <c r="CI87" s="21"/>
      <c r="CJ87" s="27">
        <f t="shared" si="50"/>
        <v>0</v>
      </c>
    </row>
    <row r="88" spans="2:88" x14ac:dyDescent="0.25">
      <c r="B88" t="s">
        <v>35</v>
      </c>
      <c r="C88" s="17">
        <v>296515000</v>
      </c>
      <c r="D88" t="s">
        <v>324</v>
      </c>
      <c r="E88" t="str">
        <f t="shared" si="48"/>
        <v>Less than $350 Million</v>
      </c>
      <c r="F88">
        <f>IF(C88="", "", COUNTIF($C$6:C88,"&gt;0"))</f>
        <v>83</v>
      </c>
      <c r="G88" t="str">
        <f>IF(E88&lt;&gt;'[1]By Asset Category'!$B$1,"",COUNTIF($E$6:E88,'[1]By Asset Category'!$B$1))</f>
        <v/>
      </c>
      <c r="H88" t="s">
        <v>325</v>
      </c>
      <c r="I88" t="s">
        <v>38</v>
      </c>
      <c r="J88" t="s">
        <v>326</v>
      </c>
      <c r="K88" t="s">
        <v>327</v>
      </c>
      <c r="L88" s="33" t="s">
        <v>3</v>
      </c>
      <c r="M88" s="34">
        <v>50</v>
      </c>
      <c r="N88" s="19">
        <v>0</v>
      </c>
      <c r="O88" s="19">
        <v>1000</v>
      </c>
      <c r="P88" s="19"/>
      <c r="Q88" s="19">
        <f t="shared" si="54"/>
        <v>1050</v>
      </c>
      <c r="R88" s="34">
        <v>25</v>
      </c>
      <c r="S88" s="19">
        <v>0</v>
      </c>
      <c r="T88" s="19">
        <v>1000</v>
      </c>
      <c r="U88" s="19"/>
      <c r="V88" s="19">
        <f t="shared" si="55"/>
        <v>1025</v>
      </c>
      <c r="W88" s="26">
        <v>0</v>
      </c>
      <c r="X88" s="21">
        <v>0</v>
      </c>
      <c r="Y88" s="21">
        <v>1000</v>
      </c>
      <c r="Z88" s="21"/>
      <c r="AA88" s="22">
        <f t="shared" si="56"/>
        <v>1000</v>
      </c>
      <c r="AB88" s="23"/>
      <c r="AC88" s="21"/>
      <c r="AD88" s="21">
        <v>1000</v>
      </c>
      <c r="AE88" s="21"/>
      <c r="AF88" s="35">
        <f t="shared" si="57"/>
        <v>1000</v>
      </c>
      <c r="AG88" s="23">
        <v>85</v>
      </c>
      <c r="AH88" s="21"/>
      <c r="AI88" s="21">
        <v>1000</v>
      </c>
      <c r="AJ88" s="21"/>
      <c r="AK88" s="25">
        <f t="shared" si="58"/>
        <v>1085</v>
      </c>
      <c r="AL88" s="23"/>
      <c r="AM88" s="21"/>
      <c r="AN88" s="21">
        <v>1000</v>
      </c>
      <c r="AO88" s="21"/>
      <c r="AP88" s="25">
        <f t="shared" si="59"/>
        <v>1000</v>
      </c>
      <c r="AQ88" s="23"/>
      <c r="AR88" s="21"/>
      <c r="AS88" s="21">
        <v>1000</v>
      </c>
      <c r="AT88" s="21"/>
      <c r="AU88" s="25">
        <f t="shared" si="60"/>
        <v>1000</v>
      </c>
      <c r="AV88" s="23">
        <v>100</v>
      </c>
      <c r="AW88" s="21"/>
      <c r="AX88" s="21">
        <v>1000</v>
      </c>
      <c r="AY88" s="21"/>
      <c r="AZ88" s="25">
        <f t="shared" si="52"/>
        <v>1100</v>
      </c>
      <c r="BA88" s="23"/>
      <c r="BB88" s="21"/>
      <c r="BC88" s="21">
        <v>1000</v>
      </c>
      <c r="BD88" s="21"/>
      <c r="BE88" s="25">
        <f t="shared" si="53"/>
        <v>1000</v>
      </c>
      <c r="BF88" s="23"/>
      <c r="BG88" s="21"/>
      <c r="BH88" s="21">
        <v>1000</v>
      </c>
      <c r="BI88" s="21"/>
      <c r="BJ88" s="25">
        <f>SUM(BF88:BH88)</f>
        <v>1000</v>
      </c>
      <c r="BK88" s="23"/>
      <c r="BL88" s="21"/>
      <c r="BM88" s="21">
        <v>1000</v>
      </c>
      <c r="BN88" s="21"/>
      <c r="BO88" s="25">
        <f>SUM(BK88:BM88)</f>
        <v>1000</v>
      </c>
      <c r="BP88" s="23">
        <v>3468</v>
      </c>
      <c r="BQ88" s="21">
        <v>1000</v>
      </c>
      <c r="BR88" s="21">
        <v>500</v>
      </c>
      <c r="BS88" s="21"/>
      <c r="BT88" s="25">
        <f t="shared" si="46"/>
        <v>4968</v>
      </c>
      <c r="BU88" s="21">
        <v>249.96</v>
      </c>
      <c r="BV88" s="26"/>
      <c r="BW88" s="21"/>
      <c r="BX88" s="21">
        <v>1000</v>
      </c>
      <c r="BY88" s="21"/>
      <c r="BZ88" s="27">
        <f t="shared" si="49"/>
        <v>1000</v>
      </c>
      <c r="CA88" s="26"/>
      <c r="CB88" s="21"/>
      <c r="CC88" s="21"/>
      <c r="CD88" s="21"/>
      <c r="CE88" s="27">
        <f t="shared" si="35"/>
        <v>0</v>
      </c>
      <c r="CF88" s="26"/>
      <c r="CG88" s="21"/>
      <c r="CH88" s="21"/>
      <c r="CI88" s="21"/>
      <c r="CJ88" s="27">
        <f t="shared" si="50"/>
        <v>0</v>
      </c>
    </row>
    <row r="89" spans="2:88" x14ac:dyDescent="0.25">
      <c r="B89" t="s">
        <v>41</v>
      </c>
      <c r="C89" s="17">
        <v>563675000</v>
      </c>
      <c r="D89" t="s">
        <v>328</v>
      </c>
      <c r="E89" t="str">
        <f t="shared" si="48"/>
        <v>$350 Million - $800 Million</v>
      </c>
      <c r="F89">
        <f>IF(C89="", "", COUNTIF($C$6:C89,"&gt;0"))</f>
        <v>84</v>
      </c>
      <c r="G89" t="str">
        <f>IF(E89&lt;&gt;'[1]By Asset Category'!$B$1,"",COUNTIF($E$6:E89,'[1]By Asset Category'!$B$1))</f>
        <v/>
      </c>
      <c r="H89" t="s">
        <v>329</v>
      </c>
      <c r="I89" t="s">
        <v>38</v>
      </c>
      <c r="J89" t="s">
        <v>330</v>
      </c>
      <c r="K89" t="s">
        <v>331</v>
      </c>
      <c r="L89" s="33" t="s">
        <v>3</v>
      </c>
      <c r="M89" s="34">
        <v>950</v>
      </c>
      <c r="N89" s="19">
        <v>200</v>
      </c>
      <c r="O89" s="19">
        <v>0</v>
      </c>
      <c r="P89" s="19"/>
      <c r="Q89" s="19">
        <f t="shared" si="54"/>
        <v>1150</v>
      </c>
      <c r="R89" s="34">
        <v>870</v>
      </c>
      <c r="S89" s="19">
        <v>200</v>
      </c>
      <c r="T89" s="19">
        <v>0</v>
      </c>
      <c r="U89" s="19"/>
      <c r="V89" s="19">
        <f t="shared" si="55"/>
        <v>1070</v>
      </c>
      <c r="W89" s="26">
        <v>995</v>
      </c>
      <c r="X89" s="21">
        <v>200</v>
      </c>
      <c r="Y89" s="21">
        <v>1000</v>
      </c>
      <c r="Z89" s="21">
        <v>0</v>
      </c>
      <c r="AA89" s="22">
        <f t="shared" si="56"/>
        <v>2195</v>
      </c>
      <c r="AB89" s="23">
        <v>1075</v>
      </c>
      <c r="AC89" s="21">
        <v>225</v>
      </c>
      <c r="AD89" s="21">
        <v>1500</v>
      </c>
      <c r="AE89" s="21"/>
      <c r="AF89" s="35">
        <f t="shared" si="57"/>
        <v>2800</v>
      </c>
      <c r="AG89" s="23">
        <v>1105</v>
      </c>
      <c r="AH89" s="21">
        <v>250</v>
      </c>
      <c r="AI89" s="21">
        <v>2500</v>
      </c>
      <c r="AJ89" s="21"/>
      <c r="AK89" s="25">
        <f t="shared" si="58"/>
        <v>3855</v>
      </c>
      <c r="AL89" s="23">
        <v>1240</v>
      </c>
      <c r="AM89" s="21">
        <v>200</v>
      </c>
      <c r="AN89" s="21">
        <v>2500</v>
      </c>
      <c r="AO89" s="21"/>
      <c r="AP89" s="25">
        <f t="shared" si="59"/>
        <v>3940</v>
      </c>
      <c r="AQ89" s="23">
        <v>1225</v>
      </c>
      <c r="AR89" s="21">
        <v>100</v>
      </c>
      <c r="AS89" s="21">
        <v>2500</v>
      </c>
      <c r="AT89" s="21"/>
      <c r="AU89" s="25">
        <f t="shared" si="60"/>
        <v>3825</v>
      </c>
      <c r="AV89" s="23">
        <v>1150</v>
      </c>
      <c r="AW89" s="21">
        <v>100</v>
      </c>
      <c r="AX89" s="21">
        <v>2500</v>
      </c>
      <c r="AY89" s="21"/>
      <c r="AZ89" s="25">
        <f t="shared" si="52"/>
        <v>3750</v>
      </c>
      <c r="BA89" s="23">
        <v>1375</v>
      </c>
      <c r="BB89" s="21">
        <v>100</v>
      </c>
      <c r="BC89" s="21">
        <v>2500</v>
      </c>
      <c r="BD89" s="21"/>
      <c r="BE89" s="25">
        <f t="shared" si="53"/>
        <v>3975</v>
      </c>
      <c r="BF89" s="23">
        <v>1225</v>
      </c>
      <c r="BG89" s="21">
        <v>100</v>
      </c>
      <c r="BH89" s="21">
        <v>2500</v>
      </c>
      <c r="BI89" s="21"/>
      <c r="BJ89" s="25">
        <f>SUM(BF89:BH89)</f>
        <v>3825</v>
      </c>
      <c r="BK89" s="23">
        <v>1025</v>
      </c>
      <c r="BL89" s="21">
        <v>150</v>
      </c>
      <c r="BM89" s="21">
        <v>2500</v>
      </c>
      <c r="BN89" s="21"/>
      <c r="BO89" s="25">
        <f>SUM(BK89:BM89)</f>
        <v>3675</v>
      </c>
      <c r="BP89" s="23"/>
      <c r="BQ89" s="21"/>
      <c r="BR89" s="21">
        <v>30000</v>
      </c>
      <c r="BS89" s="21"/>
      <c r="BT89" s="25">
        <f t="shared" si="46"/>
        <v>30000</v>
      </c>
      <c r="BU89" s="21"/>
      <c r="BV89" s="26">
        <v>450</v>
      </c>
      <c r="BW89" s="21">
        <v>1350</v>
      </c>
      <c r="BX89" s="21">
        <v>2500</v>
      </c>
      <c r="BY89" s="21"/>
      <c r="BZ89" s="27">
        <f t="shared" si="49"/>
        <v>4300</v>
      </c>
      <c r="CA89" s="26">
        <v>100</v>
      </c>
      <c r="CB89" s="21">
        <v>1350</v>
      </c>
      <c r="CC89" s="21">
        <v>2500</v>
      </c>
      <c r="CD89" s="21"/>
      <c r="CE89" s="27">
        <f t="shared" si="35"/>
        <v>3950</v>
      </c>
      <c r="CF89" s="26">
        <v>100</v>
      </c>
      <c r="CG89" s="21">
        <v>1350</v>
      </c>
      <c r="CH89" s="21">
        <v>2500</v>
      </c>
      <c r="CI89" s="21"/>
      <c r="CJ89" s="27">
        <f t="shared" si="50"/>
        <v>3950</v>
      </c>
    </row>
    <row r="90" spans="2:88" x14ac:dyDescent="0.25">
      <c r="B90" t="s">
        <v>41</v>
      </c>
      <c r="C90" s="17">
        <v>15081000000</v>
      </c>
      <c r="D90" t="s">
        <v>332</v>
      </c>
      <c r="E90" t="str">
        <f t="shared" si="48"/>
        <v>Over $10 Billion</v>
      </c>
      <c r="F90">
        <f>IF(C90="", "", COUNTIF($C$6:C90,"&gt;0"))</f>
        <v>85</v>
      </c>
      <c r="G90" t="str">
        <f>IF(E90&lt;&gt;'[1]By Asset Category'!$B$1,"",COUNTIF($E$6:E90,'[1]By Asset Category'!$B$1))</f>
        <v/>
      </c>
      <c r="H90" t="s">
        <v>333</v>
      </c>
      <c r="I90" t="s">
        <v>334</v>
      </c>
      <c r="J90" t="s">
        <v>335</v>
      </c>
      <c r="K90" t="s">
        <v>336</v>
      </c>
      <c r="L90" s="33"/>
      <c r="M90" s="34">
        <v>7350</v>
      </c>
      <c r="N90" s="19">
        <v>350</v>
      </c>
      <c r="O90" s="19">
        <v>4500</v>
      </c>
      <c r="P90" s="19"/>
      <c r="Q90" s="19">
        <f t="shared" si="54"/>
        <v>12200</v>
      </c>
      <c r="R90" s="34">
        <v>6200</v>
      </c>
      <c r="S90" s="19">
        <v>350</v>
      </c>
      <c r="T90" s="19">
        <v>5000</v>
      </c>
      <c r="U90" s="19"/>
      <c r="V90" s="19">
        <f t="shared" si="55"/>
        <v>11550</v>
      </c>
      <c r="W90" s="26">
        <v>6500</v>
      </c>
      <c r="X90" s="21">
        <v>350</v>
      </c>
      <c r="Y90" s="21">
        <v>8250</v>
      </c>
      <c r="Z90" s="21"/>
      <c r="AA90" s="22">
        <f t="shared" si="56"/>
        <v>15100</v>
      </c>
      <c r="AB90" s="23">
        <v>7900</v>
      </c>
      <c r="AC90" s="21">
        <v>1350</v>
      </c>
      <c r="AD90" s="21">
        <v>10000</v>
      </c>
      <c r="AE90" s="21"/>
      <c r="AF90" s="35">
        <f t="shared" si="57"/>
        <v>19250</v>
      </c>
      <c r="AG90" s="23">
        <v>6055</v>
      </c>
      <c r="AH90" s="21"/>
      <c r="AI90" s="21">
        <v>15000</v>
      </c>
      <c r="AJ90" s="21"/>
      <c r="AK90" s="25">
        <f t="shared" si="58"/>
        <v>21055</v>
      </c>
      <c r="AL90" s="23">
        <v>5400</v>
      </c>
      <c r="AM90" s="21">
        <v>1720</v>
      </c>
      <c r="AN90" s="21">
        <v>15000</v>
      </c>
      <c r="AO90" s="21"/>
      <c r="AP90" s="25">
        <f t="shared" si="59"/>
        <v>22120</v>
      </c>
      <c r="AQ90" s="23"/>
      <c r="AR90" s="21"/>
      <c r="AS90" s="21">
        <v>20000</v>
      </c>
      <c r="AT90" s="21"/>
      <c r="AU90" s="25">
        <f t="shared" si="60"/>
        <v>20000</v>
      </c>
      <c r="AV90" s="23"/>
      <c r="AW90" s="21"/>
      <c r="AX90" s="21">
        <v>25000</v>
      </c>
      <c r="AY90" s="21"/>
      <c r="AZ90" s="25">
        <f t="shared" si="52"/>
        <v>25000</v>
      </c>
      <c r="BA90" s="23"/>
      <c r="BB90" s="21"/>
      <c r="BC90" s="21">
        <v>25000</v>
      </c>
      <c r="BD90" s="21"/>
      <c r="BE90" s="25">
        <f t="shared" si="53"/>
        <v>25000</v>
      </c>
      <c r="BF90" s="23"/>
      <c r="BG90" s="21"/>
      <c r="BH90" s="21">
        <v>25000</v>
      </c>
      <c r="BI90" s="21"/>
      <c r="BJ90" s="25">
        <f>SUM(BF90:BI90)</f>
        <v>25000</v>
      </c>
      <c r="BK90" s="23"/>
      <c r="BL90" s="21"/>
      <c r="BM90" s="21">
        <v>30000</v>
      </c>
      <c r="BN90" s="21"/>
      <c r="BO90" s="25">
        <f>SUM(BK90:BN90)</f>
        <v>30000</v>
      </c>
      <c r="BP90" s="23"/>
      <c r="BQ90" s="21"/>
      <c r="BR90" s="21"/>
      <c r="BS90" s="21">
        <v>10000</v>
      </c>
      <c r="BT90" s="25">
        <f t="shared" si="46"/>
        <v>10000</v>
      </c>
      <c r="BU90" s="21"/>
      <c r="BV90" s="26"/>
      <c r="BW90" s="21">
        <v>1500</v>
      </c>
      <c r="BX90" s="21">
        <v>30000</v>
      </c>
      <c r="BY90" s="21"/>
      <c r="BZ90" s="27">
        <f t="shared" si="49"/>
        <v>31500</v>
      </c>
      <c r="CA90" s="26">
        <v>0</v>
      </c>
      <c r="CB90" s="21">
        <v>1500</v>
      </c>
      <c r="CC90" s="21">
        <v>30000</v>
      </c>
      <c r="CD90" s="21"/>
      <c r="CE90" s="27">
        <f t="shared" si="35"/>
        <v>31500</v>
      </c>
      <c r="CF90" s="26">
        <v>0</v>
      </c>
      <c r="CG90" s="21">
        <v>1500</v>
      </c>
      <c r="CH90" s="21">
        <v>30000</v>
      </c>
      <c r="CI90" s="21"/>
      <c r="CJ90" s="27">
        <f t="shared" si="50"/>
        <v>31500</v>
      </c>
    </row>
    <row r="91" spans="2:88" x14ac:dyDescent="0.25">
      <c r="B91" t="s">
        <v>47</v>
      </c>
      <c r="C91" s="17">
        <v>510294000000</v>
      </c>
      <c r="D91" t="s">
        <v>337</v>
      </c>
      <c r="E91" t="str">
        <f t="shared" si="48"/>
        <v>Over $10 Billion</v>
      </c>
      <c r="F91">
        <f>IF(C91="", "", COUNTIF($C$6:C91,"&gt;0"))</f>
        <v>86</v>
      </c>
      <c r="G91" t="str">
        <f>IF(E91&lt;&gt;'[1]By Asset Category'!$B$1,"",COUNTIF($E$6:E91,'[1]By Asset Category'!$B$1))</f>
        <v/>
      </c>
      <c r="H91" s="30" t="s">
        <v>338</v>
      </c>
      <c r="I91" t="s">
        <v>339</v>
      </c>
      <c r="L91" s="33"/>
      <c r="M91" s="34"/>
      <c r="N91" s="19"/>
      <c r="O91" s="19"/>
      <c r="P91" s="19"/>
      <c r="Q91" s="19"/>
      <c r="R91" s="34"/>
      <c r="S91" s="19"/>
      <c r="T91" s="19"/>
      <c r="U91" s="19"/>
      <c r="V91" s="19"/>
      <c r="W91" s="26"/>
      <c r="X91" s="21"/>
      <c r="Y91" s="21"/>
      <c r="Z91" s="21"/>
      <c r="AA91" s="22"/>
      <c r="AB91" s="23"/>
      <c r="AC91" s="21"/>
      <c r="AD91" s="21"/>
      <c r="AE91" s="21"/>
      <c r="AF91" s="35"/>
      <c r="AG91" s="23"/>
      <c r="AH91" s="21"/>
      <c r="AI91" s="21"/>
      <c r="AJ91" s="21"/>
      <c r="AK91" s="25"/>
      <c r="AL91" s="23"/>
      <c r="AM91" s="21"/>
      <c r="AN91" s="21"/>
      <c r="AO91" s="21"/>
      <c r="AP91" s="25"/>
      <c r="AQ91" s="23"/>
      <c r="AR91" s="21"/>
      <c r="AS91" s="21"/>
      <c r="AT91" s="21"/>
      <c r="AU91" s="25"/>
      <c r="AV91" s="23"/>
      <c r="AW91" s="21"/>
      <c r="AX91" s="21"/>
      <c r="AY91" s="21"/>
      <c r="AZ91" s="25"/>
      <c r="BA91" s="23"/>
      <c r="BB91" s="21"/>
      <c r="BC91" s="21"/>
      <c r="BD91" s="21"/>
      <c r="BE91" s="25"/>
      <c r="BF91" s="23"/>
      <c r="BG91" s="21"/>
      <c r="BH91" s="21"/>
      <c r="BI91" s="21"/>
      <c r="BJ91" s="25"/>
      <c r="BK91" s="23"/>
      <c r="BL91" s="21"/>
      <c r="BM91" s="21"/>
      <c r="BN91" s="21"/>
      <c r="BO91" s="25"/>
      <c r="BP91" s="23">
        <f>1325+250</f>
        <v>1575</v>
      </c>
      <c r="BQ91" s="21"/>
      <c r="BR91" s="21">
        <v>2000</v>
      </c>
      <c r="BS91" s="21"/>
      <c r="BT91" s="25">
        <f t="shared" si="46"/>
        <v>3575</v>
      </c>
      <c r="BU91" s="21">
        <v>500</v>
      </c>
      <c r="BV91" s="26"/>
      <c r="BW91" s="21"/>
      <c r="BX91" s="29" t="s">
        <v>3</v>
      </c>
      <c r="BY91" s="21">
        <v>10000</v>
      </c>
      <c r="BZ91" s="27">
        <f t="shared" si="49"/>
        <v>10000</v>
      </c>
      <c r="CA91" s="26">
        <v>0</v>
      </c>
      <c r="CB91" s="21">
        <v>0</v>
      </c>
      <c r="CC91" s="29">
        <v>10000</v>
      </c>
      <c r="CD91" s="21"/>
      <c r="CE91" s="27">
        <f t="shared" si="35"/>
        <v>10000</v>
      </c>
      <c r="CF91" s="26">
        <v>0</v>
      </c>
      <c r="CG91" s="21">
        <v>0</v>
      </c>
      <c r="CH91" s="29">
        <v>10000</v>
      </c>
      <c r="CI91" s="21"/>
      <c r="CJ91" s="27">
        <f t="shared" si="50"/>
        <v>10000</v>
      </c>
    </row>
    <row r="92" spans="2:88" x14ac:dyDescent="0.25">
      <c r="B92" t="s">
        <v>53</v>
      </c>
      <c r="C92" s="17">
        <v>531217000</v>
      </c>
      <c r="D92" t="s">
        <v>340</v>
      </c>
      <c r="E92" t="str">
        <f t="shared" si="48"/>
        <v>$350 Million - $800 Million</v>
      </c>
      <c r="F92">
        <f>IF(C92="", "", COUNTIF($C$6:C92,"&gt;0"))</f>
        <v>87</v>
      </c>
      <c r="G92" t="str">
        <f>IF(E92&lt;&gt;'[1]By Asset Category'!$B$1,"",COUNTIF($E$6:E92,'[1]By Asset Category'!$B$1))</f>
        <v/>
      </c>
      <c r="H92" t="s">
        <v>341</v>
      </c>
      <c r="I92" t="s">
        <v>342</v>
      </c>
      <c r="J92" t="s">
        <v>343</v>
      </c>
      <c r="K92" t="s">
        <v>344</v>
      </c>
      <c r="L92" s="33" t="s">
        <v>46</v>
      </c>
      <c r="M92" s="34">
        <v>0</v>
      </c>
      <c r="N92" s="19">
        <v>0</v>
      </c>
      <c r="O92" s="19">
        <v>1500</v>
      </c>
      <c r="P92" s="19"/>
      <c r="Q92" s="19">
        <f>SUM(M92:P92)</f>
        <v>1500</v>
      </c>
      <c r="R92" s="34">
        <v>0</v>
      </c>
      <c r="S92" s="19">
        <v>0</v>
      </c>
      <c r="T92" s="19">
        <v>1500</v>
      </c>
      <c r="U92" s="19"/>
      <c r="V92" s="19">
        <f>SUM(R92:U92)</f>
        <v>1500</v>
      </c>
      <c r="W92" s="26">
        <v>0</v>
      </c>
      <c r="X92" s="21">
        <v>0</v>
      </c>
      <c r="Y92" s="21">
        <v>1500</v>
      </c>
      <c r="Z92" s="21"/>
      <c r="AA92" s="22">
        <f>SUM(W92:Z92)</f>
        <v>1500</v>
      </c>
      <c r="AB92" s="23"/>
      <c r="AC92" s="21"/>
      <c r="AD92" s="21">
        <v>2000</v>
      </c>
      <c r="AE92" s="21"/>
      <c r="AF92" s="35">
        <f>SUM(AB92:AE92)</f>
        <v>2000</v>
      </c>
      <c r="AG92" s="23">
        <v>1060</v>
      </c>
      <c r="AH92" s="21"/>
      <c r="AI92" s="21">
        <v>2000</v>
      </c>
      <c r="AJ92" s="21"/>
      <c r="AK92" s="25">
        <f>SUM(AG92:AJ92)</f>
        <v>3060</v>
      </c>
      <c r="AL92" s="23">
        <v>1155</v>
      </c>
      <c r="AM92" s="21"/>
      <c r="AN92" s="21">
        <v>2000</v>
      </c>
      <c r="AO92" s="21"/>
      <c r="AP92" s="25">
        <f>SUM(AL92:AO92)</f>
        <v>3155</v>
      </c>
      <c r="AQ92" s="23">
        <v>1445</v>
      </c>
      <c r="AR92" s="21"/>
      <c r="AS92" s="21">
        <v>2000</v>
      </c>
      <c r="AT92" s="21"/>
      <c r="AU92" s="25">
        <f>SUM(AQ92:AT92)</f>
        <v>3445</v>
      </c>
      <c r="AV92" s="23">
        <v>1580</v>
      </c>
      <c r="AW92" s="21"/>
      <c r="AX92" s="21">
        <v>2000</v>
      </c>
      <c r="AY92" s="21"/>
      <c r="AZ92" s="25">
        <f>SUM(AV92:AY92)</f>
        <v>3580</v>
      </c>
      <c r="BA92" s="23">
        <v>1390</v>
      </c>
      <c r="BB92" s="21"/>
      <c r="BC92" s="21">
        <v>2000</v>
      </c>
      <c r="BD92" s="21"/>
      <c r="BE92" s="25">
        <f>SUM(BA92:BD92)</f>
        <v>3390</v>
      </c>
      <c r="BF92" s="23">
        <v>1015</v>
      </c>
      <c r="BG92" s="21"/>
      <c r="BH92" s="21">
        <v>2000</v>
      </c>
      <c r="BI92" s="21"/>
      <c r="BJ92" s="25">
        <f>SUM(BF92:BI92)</f>
        <v>3015</v>
      </c>
      <c r="BK92" s="23">
        <v>1445</v>
      </c>
      <c r="BL92" s="21"/>
      <c r="BM92" s="21">
        <v>2000</v>
      </c>
      <c r="BN92" s="21"/>
      <c r="BO92" s="25">
        <f>SUM(BK92:BN92)</f>
        <v>3445</v>
      </c>
      <c r="BP92" s="23">
        <v>21669</v>
      </c>
      <c r="BQ92" s="21">
        <v>6250</v>
      </c>
      <c r="BR92" s="21"/>
      <c r="BS92" s="21"/>
      <c r="BT92" s="25">
        <f t="shared" si="46"/>
        <v>27919</v>
      </c>
      <c r="BU92" s="21">
        <v>1500</v>
      </c>
      <c r="BV92" s="26">
        <v>1480</v>
      </c>
      <c r="BW92" s="21"/>
      <c r="BX92" s="21">
        <v>2000</v>
      </c>
      <c r="BY92" s="21"/>
      <c r="BZ92" s="27">
        <f t="shared" si="49"/>
        <v>3480</v>
      </c>
      <c r="CA92" s="26">
        <v>1580</v>
      </c>
      <c r="CB92" s="21">
        <v>0</v>
      </c>
      <c r="CC92" s="21">
        <v>2000</v>
      </c>
      <c r="CD92" s="21"/>
      <c r="CE92" s="27">
        <f t="shared" si="35"/>
        <v>3580</v>
      </c>
      <c r="CF92" s="26">
        <v>1580</v>
      </c>
      <c r="CG92" s="21">
        <v>0</v>
      </c>
      <c r="CH92" s="21">
        <v>2000</v>
      </c>
      <c r="CI92" s="21"/>
      <c r="CJ92" s="27">
        <f t="shared" si="50"/>
        <v>3580</v>
      </c>
    </row>
    <row r="93" spans="2:88" x14ac:dyDescent="0.25">
      <c r="B93" t="s">
        <v>58</v>
      </c>
      <c r="C93" s="17">
        <v>416000000</v>
      </c>
      <c r="D93" t="s">
        <v>345</v>
      </c>
      <c r="E93" t="str">
        <f t="shared" si="48"/>
        <v>$350 Million - $800 Million</v>
      </c>
      <c r="F93">
        <f>IF(C93="", "", COUNTIF($C$6:C93,"&gt;0"))</f>
        <v>88</v>
      </c>
      <c r="G93" t="str">
        <f>IF(E93&lt;&gt;'[1]By Asset Category'!$B$1,"",COUNTIF($E$6:E93,'[1]By Asset Category'!$B$1))</f>
        <v/>
      </c>
      <c r="H93" t="s">
        <v>346</v>
      </c>
      <c r="L93" s="33"/>
      <c r="M93" s="34"/>
      <c r="N93" s="19"/>
      <c r="O93" s="19"/>
      <c r="P93" s="19"/>
      <c r="Q93" s="19"/>
      <c r="R93" s="34"/>
      <c r="S93" s="19"/>
      <c r="T93" s="19"/>
      <c r="U93" s="19"/>
      <c r="V93" s="19"/>
      <c r="W93" s="26"/>
      <c r="X93" s="21"/>
      <c r="Y93" s="21"/>
      <c r="Z93" s="21"/>
      <c r="AA93" s="22"/>
      <c r="AB93" s="23"/>
      <c r="AC93" s="21"/>
      <c r="AD93" s="21"/>
      <c r="AE93" s="21"/>
      <c r="AF93" s="35"/>
      <c r="AG93" s="23"/>
      <c r="AH93" s="21"/>
      <c r="AI93" s="21"/>
      <c r="AJ93" s="21"/>
      <c r="AK93" s="25"/>
      <c r="AL93" s="23"/>
      <c r="AM93" s="21"/>
      <c r="AN93" s="21"/>
      <c r="AO93" s="21"/>
      <c r="AP93" s="25"/>
      <c r="AQ93" s="23"/>
      <c r="AR93" s="21"/>
      <c r="AS93" s="21"/>
      <c r="AT93" s="21"/>
      <c r="AU93" s="25"/>
      <c r="AV93" s="23"/>
      <c r="AW93" s="21"/>
      <c r="AX93" s="21"/>
      <c r="AY93" s="21"/>
      <c r="AZ93" s="25"/>
      <c r="BA93" s="23"/>
      <c r="BB93" s="21"/>
      <c r="BC93" s="21"/>
      <c r="BD93" s="21"/>
      <c r="BE93" s="25"/>
      <c r="BF93" s="23"/>
      <c r="BG93" s="21"/>
      <c r="BH93" s="21"/>
      <c r="BI93" s="21"/>
      <c r="BJ93" s="25"/>
      <c r="BK93" s="23"/>
      <c r="BL93" s="21"/>
      <c r="BM93" s="21"/>
      <c r="BN93" s="21"/>
      <c r="BO93" s="25"/>
      <c r="BP93" s="23"/>
      <c r="BQ93" s="21"/>
      <c r="BR93" s="21"/>
      <c r="BS93" s="21"/>
      <c r="BT93" s="25"/>
      <c r="BU93" s="21"/>
      <c r="BV93" s="26"/>
      <c r="BW93" s="21"/>
      <c r="BX93" s="21"/>
      <c r="BY93" s="21"/>
      <c r="BZ93" s="27"/>
      <c r="CA93" s="26"/>
      <c r="CB93" s="21"/>
      <c r="CC93" s="21"/>
      <c r="CD93" s="21"/>
      <c r="CE93" s="27"/>
      <c r="CF93" s="26"/>
      <c r="CG93" s="21"/>
      <c r="CH93" s="21"/>
      <c r="CI93" s="21"/>
      <c r="CJ93" s="27"/>
    </row>
    <row r="94" spans="2:88" x14ac:dyDescent="0.25">
      <c r="B94" t="s">
        <v>58</v>
      </c>
      <c r="C94" s="17">
        <v>27158306000</v>
      </c>
      <c r="D94" t="s">
        <v>347</v>
      </c>
      <c r="E94" t="str">
        <f t="shared" si="48"/>
        <v>Over $10 Billion</v>
      </c>
      <c r="F94">
        <f>IF(C94="", "", COUNTIF($C$6:C94,"&gt;0"))</f>
        <v>89</v>
      </c>
      <c r="G94" t="str">
        <f>IF(E94&lt;&gt;'[1]By Asset Category'!$B$1,"",COUNTIF($E$6:E94,'[1]By Asset Category'!$B$1))</f>
        <v/>
      </c>
      <c r="H94" t="s">
        <v>348</v>
      </c>
      <c r="I94" t="s">
        <v>121</v>
      </c>
      <c r="J94" t="s">
        <v>349</v>
      </c>
      <c r="K94" t="s">
        <v>350</v>
      </c>
      <c r="L94" s="33" t="s">
        <v>3</v>
      </c>
      <c r="M94" s="34">
        <f>1000+6055</f>
        <v>7055</v>
      </c>
      <c r="N94" s="19">
        <f>800+2500</f>
        <v>3300</v>
      </c>
      <c r="O94" s="19">
        <f>1000+2500</f>
        <v>3500</v>
      </c>
      <c r="P94" s="19"/>
      <c r="Q94" s="19">
        <f>SUM(M94:P94)</f>
        <v>13855</v>
      </c>
      <c r="R94" s="34">
        <f>150+1800</f>
        <v>1950</v>
      </c>
      <c r="S94" s="19">
        <f>850+3000</f>
        <v>3850</v>
      </c>
      <c r="T94" s="19">
        <v>3000</v>
      </c>
      <c r="U94" s="19"/>
      <c r="V94" s="19">
        <f>SUM(R94:U94)</f>
        <v>8800</v>
      </c>
      <c r="W94" s="26">
        <v>5200</v>
      </c>
      <c r="X94" s="21">
        <f>700+4000</f>
        <v>4700</v>
      </c>
      <c r="Y94" s="21">
        <v>5000</v>
      </c>
      <c r="Z94" s="21"/>
      <c r="AA94" s="22">
        <f>SUM(W94:Z94)</f>
        <v>14900</v>
      </c>
      <c r="AB94" s="23">
        <f>665+3635</f>
        <v>4300</v>
      </c>
      <c r="AC94" s="21">
        <f>900+3000</f>
        <v>3900</v>
      </c>
      <c r="AD94" s="21">
        <v>5000</v>
      </c>
      <c r="AE94" s="21"/>
      <c r="AF94" s="35">
        <f>SUM(AB94:AE94)</f>
        <v>13200</v>
      </c>
      <c r="AG94" s="23">
        <f>200+4460</f>
        <v>4660</v>
      </c>
      <c r="AH94" s="21">
        <f>1300+3500</f>
        <v>4800</v>
      </c>
      <c r="AI94" s="21">
        <v>5000</v>
      </c>
      <c r="AJ94" s="21"/>
      <c r="AK94" s="25">
        <f>SUM(AG94:AJ94)</f>
        <v>14460</v>
      </c>
      <c r="AL94" s="23">
        <f>325+2970</f>
        <v>3295</v>
      </c>
      <c r="AM94" s="21">
        <f>800+3500</f>
        <v>4300</v>
      </c>
      <c r="AN94" s="21">
        <v>5000</v>
      </c>
      <c r="AO94" s="21"/>
      <c r="AP94" s="25">
        <f>SUM(AL94:AO94)</f>
        <v>12595</v>
      </c>
      <c r="AQ94" s="23"/>
      <c r="AR94" s="21"/>
      <c r="AS94" s="21"/>
      <c r="AT94" s="21"/>
      <c r="AU94" s="25">
        <f>SUM(AQ94:AT94)</f>
        <v>0</v>
      </c>
      <c r="AV94" s="23">
        <v>1125</v>
      </c>
      <c r="AW94" s="21">
        <v>3050</v>
      </c>
      <c r="AX94" s="21"/>
      <c r="AY94" s="21"/>
      <c r="AZ94" s="25">
        <f>SUM(AV94:AY94)</f>
        <v>4175</v>
      </c>
      <c r="BA94" s="23">
        <v>6900</v>
      </c>
      <c r="BB94" s="21">
        <v>2950</v>
      </c>
      <c r="BC94" s="21"/>
      <c r="BD94" s="21"/>
      <c r="BE94" s="25">
        <f>SUM(BA94:BD94)</f>
        <v>9850</v>
      </c>
      <c r="BF94" s="23">
        <v>9169</v>
      </c>
      <c r="BG94" s="21">
        <v>5250</v>
      </c>
      <c r="BH94" s="21"/>
      <c r="BI94" s="21"/>
      <c r="BJ94" s="25">
        <f>SUM(BF94:BI94)</f>
        <v>14419</v>
      </c>
      <c r="BK94" s="23">
        <v>21250</v>
      </c>
      <c r="BL94" s="21">
        <v>6650</v>
      </c>
      <c r="BM94" s="21"/>
      <c r="BN94" s="21"/>
      <c r="BO94" s="25">
        <f>SUM(BK94:BN94)</f>
        <v>27900</v>
      </c>
      <c r="BP94" s="62">
        <v>6600</v>
      </c>
      <c r="BQ94" s="22"/>
      <c r="BR94" s="22">
        <v>1500</v>
      </c>
      <c r="BS94" s="22"/>
      <c r="BT94" s="25">
        <f t="shared" si="46"/>
        <v>8100</v>
      </c>
      <c r="BU94" s="22"/>
      <c r="BV94" s="26">
        <v>22345.13</v>
      </c>
      <c r="BW94" s="21">
        <v>8000</v>
      </c>
      <c r="BX94" s="21"/>
      <c r="BY94" s="21"/>
      <c r="BZ94" s="27">
        <f t="shared" si="49"/>
        <v>30345.13</v>
      </c>
      <c r="CA94" s="26">
        <v>51747</v>
      </c>
      <c r="CB94" s="21">
        <v>10250</v>
      </c>
      <c r="CC94" s="21"/>
      <c r="CD94" s="21"/>
      <c r="CE94" s="27">
        <f t="shared" si="35"/>
        <v>61997</v>
      </c>
      <c r="CF94" s="26">
        <v>51747</v>
      </c>
      <c r="CG94" s="21">
        <v>10250</v>
      </c>
      <c r="CH94" s="21"/>
      <c r="CI94" s="21"/>
      <c r="CJ94" s="27">
        <f t="shared" ref="CJ94:CJ101" si="61">SUM(CF94:CI94)</f>
        <v>61997</v>
      </c>
    </row>
    <row r="95" spans="2:88" x14ac:dyDescent="0.25">
      <c r="B95" t="s">
        <v>351</v>
      </c>
      <c r="C95" s="17"/>
      <c r="D95" t="s">
        <v>352</v>
      </c>
      <c r="E95" t="str">
        <f t="shared" si="48"/>
        <v/>
      </c>
      <c r="F95" t="str">
        <f>IF(C95="", "", COUNTIF($C$6:C95,"&gt;0"))</f>
        <v/>
      </c>
      <c r="G95" t="str">
        <f>IF(E95&lt;&gt;'[1]By Asset Category'!$B$1,"",COUNTIF($E$6:E95,'[1]By Asset Category'!$B$1))</f>
        <v/>
      </c>
      <c r="L95" s="22"/>
      <c r="M95" s="63"/>
      <c r="N95" s="22"/>
      <c r="O95" s="22"/>
      <c r="P95" s="22"/>
      <c r="Q95" s="22"/>
      <c r="R95" s="63"/>
      <c r="S95" s="22"/>
      <c r="T95" s="22"/>
      <c r="U95" s="22"/>
      <c r="V95" s="22"/>
      <c r="W95" s="63"/>
      <c r="X95" s="22"/>
      <c r="Y95" s="22"/>
      <c r="Z95" s="22"/>
      <c r="AA95" s="22"/>
      <c r="AB95" s="64"/>
      <c r="AC95" s="22"/>
      <c r="AD95" s="22"/>
      <c r="AE95" s="22"/>
      <c r="AF95" s="22"/>
      <c r="AG95" s="64"/>
      <c r="AH95" s="22"/>
      <c r="AI95" s="22"/>
      <c r="AJ95" s="22"/>
      <c r="AK95" s="25"/>
      <c r="AL95" s="64"/>
      <c r="AM95" s="22"/>
      <c r="AN95" s="22"/>
      <c r="AO95" s="22"/>
      <c r="AP95" s="25"/>
      <c r="AQ95" s="64"/>
      <c r="AR95" s="22"/>
      <c r="AS95" s="22"/>
      <c r="AT95" s="22"/>
      <c r="AU95" s="25"/>
      <c r="AV95" s="64"/>
      <c r="AW95" s="22"/>
      <c r="AX95" s="22"/>
      <c r="AY95" s="22"/>
      <c r="AZ95" s="25"/>
      <c r="BA95" s="64"/>
      <c r="BB95" s="22"/>
      <c r="BC95" s="22"/>
      <c r="BD95" s="22"/>
      <c r="BE95" s="25"/>
      <c r="BF95" s="64"/>
      <c r="BG95" s="22"/>
      <c r="BH95" s="22"/>
      <c r="BI95" s="22"/>
      <c r="BJ95" s="25"/>
      <c r="BK95" s="64">
        <v>7553.94</v>
      </c>
      <c r="BL95" s="22"/>
      <c r="BM95" s="22">
        <v>1500</v>
      </c>
      <c r="BN95" s="22"/>
      <c r="BO95" s="25"/>
      <c r="BP95" s="23"/>
      <c r="BQ95" s="21"/>
      <c r="BR95" s="21"/>
      <c r="BS95" s="21"/>
      <c r="BT95" s="25">
        <f t="shared" si="46"/>
        <v>0</v>
      </c>
      <c r="BU95" s="21"/>
      <c r="BV95" s="63">
        <v>6775.92</v>
      </c>
      <c r="BW95" s="22"/>
      <c r="BX95" s="22"/>
      <c r="BY95" s="22"/>
      <c r="BZ95" s="27">
        <f t="shared" si="49"/>
        <v>6775.92</v>
      </c>
      <c r="CA95" s="63">
        <v>6531.3</v>
      </c>
      <c r="CB95" s="22">
        <v>0</v>
      </c>
      <c r="CC95" s="22">
        <v>1500</v>
      </c>
      <c r="CD95" s="22"/>
      <c r="CE95" s="27">
        <f t="shared" si="35"/>
        <v>8031.3</v>
      </c>
      <c r="CF95" s="63">
        <v>6531.3</v>
      </c>
      <c r="CG95" s="22">
        <v>0</v>
      </c>
      <c r="CH95" s="22">
        <v>1500</v>
      </c>
      <c r="CI95" s="22"/>
      <c r="CJ95" s="27">
        <f t="shared" si="61"/>
        <v>8031.3</v>
      </c>
    </row>
    <row r="96" spans="2:88" x14ac:dyDescent="0.25">
      <c r="B96" t="s">
        <v>41</v>
      </c>
      <c r="C96" s="17">
        <v>233397000</v>
      </c>
      <c r="D96" t="s">
        <v>353</v>
      </c>
      <c r="E96" t="str">
        <f t="shared" si="48"/>
        <v>Less than $350 Million</v>
      </c>
      <c r="F96">
        <f>IF(C96="", "", COUNTIF($C$6:C96,"&gt;0"))</f>
        <v>90</v>
      </c>
      <c r="G96" t="str">
        <f>IF(E96&lt;&gt;'[1]By Asset Category'!$B$1,"",COUNTIF($E$6:E96,'[1]By Asset Category'!$B$1))</f>
        <v/>
      </c>
      <c r="H96" t="s">
        <v>354</v>
      </c>
      <c r="I96" t="s">
        <v>38</v>
      </c>
      <c r="J96" t="s">
        <v>355</v>
      </c>
      <c r="K96" t="s">
        <v>356</v>
      </c>
      <c r="L96" s="33"/>
      <c r="M96" s="34">
        <v>0</v>
      </c>
      <c r="N96" s="19">
        <v>0</v>
      </c>
      <c r="O96" s="19">
        <v>0</v>
      </c>
      <c r="P96" s="19">
        <v>0</v>
      </c>
      <c r="Q96" s="19">
        <f t="shared" ref="Q96:Q101" si="62">SUM(M96:P96)</f>
        <v>0</v>
      </c>
      <c r="R96" s="34">
        <v>0</v>
      </c>
      <c r="S96" s="19">
        <v>0</v>
      </c>
      <c r="T96" s="19">
        <v>0</v>
      </c>
      <c r="U96" s="19">
        <v>0</v>
      </c>
      <c r="V96" s="19">
        <f t="shared" ref="V96:V101" si="63">SUM(R96:U96)</f>
        <v>0</v>
      </c>
      <c r="W96" s="26">
        <v>0</v>
      </c>
      <c r="X96" s="21">
        <v>0</v>
      </c>
      <c r="Y96" s="21">
        <v>0</v>
      </c>
      <c r="Z96" s="21">
        <v>0</v>
      </c>
      <c r="AA96" s="22">
        <f t="shared" ref="AA96:AA101" si="64">SUM(W96:Z96)</f>
        <v>0</v>
      </c>
      <c r="AB96" s="23"/>
      <c r="AC96" s="21"/>
      <c r="AD96" s="21">
        <v>500</v>
      </c>
      <c r="AE96" s="21"/>
      <c r="AF96" s="35">
        <f t="shared" ref="AF96:AF101" si="65">SUM(AB96:AE96)</f>
        <v>500</v>
      </c>
      <c r="AG96" s="23"/>
      <c r="AH96" s="21"/>
      <c r="AI96" s="21">
        <v>500</v>
      </c>
      <c r="AJ96" s="21"/>
      <c r="AK96" s="25">
        <f t="shared" ref="AK96:AK101" si="66">SUM(AG96:AJ96)</f>
        <v>500</v>
      </c>
      <c r="AL96" s="23"/>
      <c r="AM96" s="21"/>
      <c r="AN96" s="21">
        <v>500</v>
      </c>
      <c r="AO96" s="21"/>
      <c r="AP96" s="25">
        <f t="shared" ref="AP96:AP101" si="67">SUM(AL96:AO96)</f>
        <v>500</v>
      </c>
      <c r="AQ96" s="23"/>
      <c r="AR96" s="21"/>
      <c r="AS96" s="21"/>
      <c r="AT96" s="21"/>
      <c r="AU96" s="25">
        <f t="shared" ref="AU96:AU101" si="68">SUM(AQ96:AT96)</f>
        <v>0</v>
      </c>
      <c r="AV96" s="23"/>
      <c r="AW96" s="21"/>
      <c r="AX96" s="21">
        <v>750</v>
      </c>
      <c r="AY96" s="21"/>
      <c r="AZ96" s="25">
        <f t="shared" ref="AZ96:AZ101" si="69">SUM(AV96:AY96)</f>
        <v>750</v>
      </c>
      <c r="BA96" s="23"/>
      <c r="BB96" s="21"/>
      <c r="BC96" s="21">
        <v>1000</v>
      </c>
      <c r="BD96" s="21"/>
      <c r="BE96" s="25">
        <f t="shared" ref="BE96:BE101" si="70">SUM(BA96:BD96)</f>
        <v>1000</v>
      </c>
      <c r="BF96" s="23"/>
      <c r="BG96" s="21"/>
      <c r="BH96" s="21"/>
      <c r="BI96" s="21"/>
      <c r="BJ96" s="25">
        <f>SUM(BF96:BI96)</f>
        <v>0</v>
      </c>
      <c r="BK96" s="23"/>
      <c r="BL96" s="21"/>
      <c r="BM96" s="21">
        <v>500</v>
      </c>
      <c r="BN96" s="21"/>
      <c r="BO96" s="25">
        <f>SUM(BK96:BN96)</f>
        <v>500</v>
      </c>
      <c r="BP96" s="23">
        <v>90</v>
      </c>
      <c r="BQ96" s="21"/>
      <c r="BR96" s="21">
        <v>250</v>
      </c>
      <c r="BS96" s="21"/>
      <c r="BT96" s="25">
        <f t="shared" si="46"/>
        <v>340</v>
      </c>
      <c r="BU96" s="21"/>
      <c r="BV96" s="26"/>
      <c r="BW96" s="21"/>
      <c r="BX96" s="21"/>
      <c r="BY96" s="21"/>
      <c r="BZ96" s="27">
        <f t="shared" si="49"/>
        <v>0</v>
      </c>
      <c r="CA96" s="26"/>
      <c r="CB96" s="21"/>
      <c r="CC96" s="21"/>
      <c r="CD96" s="21"/>
      <c r="CE96" s="27">
        <f t="shared" si="35"/>
        <v>0</v>
      </c>
      <c r="CF96" s="26"/>
      <c r="CG96" s="21"/>
      <c r="CH96" s="21"/>
      <c r="CI96" s="21"/>
      <c r="CJ96" s="27">
        <f t="shared" si="61"/>
        <v>0</v>
      </c>
    </row>
    <row r="97" spans="1:88" x14ac:dyDescent="0.25">
      <c r="B97" t="s">
        <v>41</v>
      </c>
      <c r="C97" s="17">
        <v>717692000</v>
      </c>
      <c r="D97" t="s">
        <v>357</v>
      </c>
      <c r="E97" t="str">
        <f t="shared" si="48"/>
        <v>$350 Million - $800 Million</v>
      </c>
      <c r="F97">
        <f>IF(C97="", "", COUNTIF($C$6:C97,"&gt;0"))</f>
        <v>91</v>
      </c>
      <c r="G97" t="str">
        <f>IF(E97&lt;&gt;'[1]By Asset Category'!$B$1,"",COUNTIF($E$6:E97,'[1]By Asset Category'!$B$1))</f>
        <v/>
      </c>
      <c r="H97" t="s">
        <v>358</v>
      </c>
      <c r="I97" t="s">
        <v>121</v>
      </c>
      <c r="J97" t="s">
        <v>359</v>
      </c>
      <c r="K97" t="s">
        <v>360</v>
      </c>
      <c r="L97" s="33" t="s">
        <v>3</v>
      </c>
      <c r="M97" s="34">
        <v>75</v>
      </c>
      <c r="N97" s="19">
        <f>150+1150</f>
        <v>1300</v>
      </c>
      <c r="O97" s="19">
        <f>100+300</f>
        <v>400</v>
      </c>
      <c r="P97" s="19"/>
      <c r="Q97" s="19">
        <f t="shared" si="62"/>
        <v>1775</v>
      </c>
      <c r="R97" s="34">
        <v>250</v>
      </c>
      <c r="S97" s="19">
        <v>100</v>
      </c>
      <c r="T97" s="19">
        <v>0</v>
      </c>
      <c r="U97" s="19"/>
      <c r="V97" s="19">
        <f t="shared" si="63"/>
        <v>350</v>
      </c>
      <c r="W97" s="26">
        <v>495</v>
      </c>
      <c r="X97" s="21">
        <v>0</v>
      </c>
      <c r="Y97" s="21">
        <v>0</v>
      </c>
      <c r="Z97" s="21"/>
      <c r="AA97" s="22">
        <f t="shared" si="64"/>
        <v>495</v>
      </c>
      <c r="AB97" s="23">
        <v>425</v>
      </c>
      <c r="AC97" s="21">
        <v>750</v>
      </c>
      <c r="AD97" s="21"/>
      <c r="AE97" s="21"/>
      <c r="AF97" s="35">
        <f t="shared" si="65"/>
        <v>1175</v>
      </c>
      <c r="AG97" s="23">
        <v>1060</v>
      </c>
      <c r="AH97" s="21">
        <v>100</v>
      </c>
      <c r="AI97" s="21"/>
      <c r="AJ97" s="21"/>
      <c r="AK97" s="25">
        <f t="shared" si="66"/>
        <v>1160</v>
      </c>
      <c r="AL97" s="23">
        <v>3010</v>
      </c>
      <c r="AM97" s="21">
        <v>1450</v>
      </c>
      <c r="AN97" s="21">
        <v>550</v>
      </c>
      <c r="AO97" s="21"/>
      <c r="AP97" s="25">
        <f t="shared" si="67"/>
        <v>5010</v>
      </c>
      <c r="AQ97" s="23">
        <f>775+25</f>
        <v>800</v>
      </c>
      <c r="AR97" s="21">
        <v>400</v>
      </c>
      <c r="AS97" s="21"/>
      <c r="AT97" s="21"/>
      <c r="AU97" s="25">
        <f t="shared" si="68"/>
        <v>1200</v>
      </c>
      <c r="AV97" s="23">
        <v>300</v>
      </c>
      <c r="AW97" s="21">
        <v>600</v>
      </c>
      <c r="AX97" s="21"/>
      <c r="AY97" s="21"/>
      <c r="AZ97" s="25">
        <f t="shared" si="69"/>
        <v>900</v>
      </c>
      <c r="BA97" s="23">
        <v>550</v>
      </c>
      <c r="BB97" s="21">
        <v>1050</v>
      </c>
      <c r="BC97" s="21"/>
      <c r="BD97" s="21"/>
      <c r="BE97" s="25">
        <f t="shared" si="70"/>
        <v>1600</v>
      </c>
      <c r="BF97" s="23">
        <v>450</v>
      </c>
      <c r="BG97" s="21">
        <v>850</v>
      </c>
      <c r="BH97" s="21"/>
      <c r="BI97" s="21"/>
      <c r="BJ97" s="25">
        <f>SUM(BF97:BI97)</f>
        <v>1300</v>
      </c>
      <c r="BK97" s="23"/>
      <c r="BL97" s="21"/>
      <c r="BM97" s="21"/>
      <c r="BN97" s="21"/>
      <c r="BO97" s="25">
        <f>SUM(BK97:BN97)</f>
        <v>0</v>
      </c>
      <c r="BP97" s="23"/>
      <c r="BQ97" s="21"/>
      <c r="BR97" s="21">
        <v>2000</v>
      </c>
      <c r="BT97" s="25">
        <f t="shared" si="46"/>
        <v>2000</v>
      </c>
      <c r="BV97" s="26"/>
      <c r="BW97" s="21"/>
      <c r="BX97" s="21"/>
      <c r="BY97" s="21"/>
      <c r="BZ97" s="27">
        <f t="shared" si="49"/>
        <v>0</v>
      </c>
      <c r="CA97" s="26">
        <v>200</v>
      </c>
      <c r="CB97" s="21">
        <v>550</v>
      </c>
      <c r="CC97" s="21">
        <v>0</v>
      </c>
      <c r="CD97" s="21"/>
      <c r="CE97" s="27">
        <f t="shared" si="35"/>
        <v>750</v>
      </c>
      <c r="CF97" s="26">
        <v>200</v>
      </c>
      <c r="CG97" s="21">
        <v>550</v>
      </c>
      <c r="CH97" s="21">
        <v>0</v>
      </c>
      <c r="CI97" s="21"/>
      <c r="CJ97" s="27">
        <f t="shared" si="61"/>
        <v>750</v>
      </c>
    </row>
    <row r="98" spans="1:88" x14ac:dyDescent="0.25">
      <c r="B98" t="s">
        <v>35</v>
      </c>
      <c r="C98" s="17">
        <v>1847448000</v>
      </c>
      <c r="D98" t="s">
        <v>361</v>
      </c>
      <c r="E98" t="str">
        <f t="shared" si="48"/>
        <v>$800 Million - $2 Billion</v>
      </c>
      <c r="F98">
        <f>IF(C98="", "", COUNTIF($C$6:C98,"&gt;0"))</f>
        <v>92</v>
      </c>
      <c r="G98">
        <f>IF(E98&lt;&gt;'[1]By Asset Category'!$B$1,"",COUNTIF($E$6:E98,'[1]By Asset Category'!$B$1))</f>
        <v>20</v>
      </c>
      <c r="H98" t="s">
        <v>362</v>
      </c>
      <c r="I98" t="s">
        <v>38</v>
      </c>
      <c r="J98" t="s">
        <v>363</v>
      </c>
      <c r="K98" t="s">
        <v>364</v>
      </c>
      <c r="L98" s="33"/>
      <c r="M98" s="34">
        <v>0</v>
      </c>
      <c r="N98" s="19">
        <v>0</v>
      </c>
      <c r="O98" s="19">
        <v>0</v>
      </c>
      <c r="P98" s="19">
        <v>0</v>
      </c>
      <c r="Q98" s="19">
        <f t="shared" si="62"/>
        <v>0</v>
      </c>
      <c r="R98" s="34">
        <v>0</v>
      </c>
      <c r="S98" s="19">
        <v>0</v>
      </c>
      <c r="T98" s="19">
        <v>0</v>
      </c>
      <c r="U98" s="19">
        <v>0</v>
      </c>
      <c r="V98" s="19">
        <f t="shared" si="63"/>
        <v>0</v>
      </c>
      <c r="W98" s="26">
        <v>0</v>
      </c>
      <c r="X98" s="21">
        <v>0</v>
      </c>
      <c r="Y98" s="21">
        <v>0</v>
      </c>
      <c r="Z98" s="21"/>
      <c r="AA98" s="22">
        <f t="shared" si="64"/>
        <v>0</v>
      </c>
      <c r="AB98" s="23"/>
      <c r="AC98" s="21"/>
      <c r="AD98" s="21"/>
      <c r="AE98" s="21"/>
      <c r="AF98" s="35">
        <f t="shared" si="65"/>
        <v>0</v>
      </c>
      <c r="AG98" s="23"/>
      <c r="AH98" s="21"/>
      <c r="AI98" s="21"/>
      <c r="AJ98" s="21"/>
      <c r="AK98" s="25">
        <f t="shared" si="66"/>
        <v>0</v>
      </c>
      <c r="AL98" s="23"/>
      <c r="AM98" s="21"/>
      <c r="AN98" s="21"/>
      <c r="AO98" s="21"/>
      <c r="AP98" s="25">
        <f t="shared" si="67"/>
        <v>0</v>
      </c>
      <c r="AQ98" s="23"/>
      <c r="AR98" s="21"/>
      <c r="AS98" s="21"/>
      <c r="AT98" s="21"/>
      <c r="AU98" s="25">
        <f t="shared" si="68"/>
        <v>0</v>
      </c>
      <c r="AV98" s="23"/>
      <c r="AW98" s="21"/>
      <c r="AX98" s="21"/>
      <c r="AY98" s="21"/>
      <c r="AZ98" s="25">
        <f t="shared" si="69"/>
        <v>0</v>
      </c>
      <c r="BA98" s="23"/>
      <c r="BB98" s="21"/>
      <c r="BC98" s="21"/>
      <c r="BD98" s="21"/>
      <c r="BE98" s="25">
        <f t="shared" si="70"/>
        <v>0</v>
      </c>
      <c r="BF98" s="23"/>
      <c r="BG98" s="21"/>
      <c r="BH98" s="21"/>
      <c r="BI98" s="21"/>
      <c r="BJ98" s="25">
        <f>SUM(BF98:BH98)</f>
        <v>0</v>
      </c>
      <c r="BK98" s="23"/>
      <c r="BL98" s="21"/>
      <c r="BM98" s="29">
        <v>5000</v>
      </c>
      <c r="BN98" s="21"/>
      <c r="BO98" s="25">
        <f>SUM(BK98:BM98)</f>
        <v>5000</v>
      </c>
      <c r="BP98" s="23"/>
      <c r="BQ98" s="21"/>
      <c r="BR98" s="21">
        <v>2500</v>
      </c>
      <c r="BS98" s="21"/>
      <c r="BT98" s="25">
        <f t="shared" si="46"/>
        <v>2500</v>
      </c>
      <c r="BU98" s="21"/>
      <c r="BV98" s="26"/>
      <c r="BW98" s="21"/>
      <c r="BX98" s="21">
        <v>5000</v>
      </c>
      <c r="BY98" s="21"/>
      <c r="BZ98" s="27">
        <f t="shared" si="49"/>
        <v>5000</v>
      </c>
      <c r="CA98" s="26">
        <v>215.04</v>
      </c>
      <c r="CB98" s="21"/>
      <c r="CC98" s="21">
        <v>10000</v>
      </c>
      <c r="CD98" s="21"/>
      <c r="CE98" s="27">
        <f t="shared" si="35"/>
        <v>10215.040000000001</v>
      </c>
      <c r="CF98" s="26">
        <v>215.04</v>
      </c>
      <c r="CG98" s="21"/>
      <c r="CH98" s="21">
        <v>10000</v>
      </c>
      <c r="CI98" s="21"/>
      <c r="CJ98" s="27">
        <f t="shared" si="61"/>
        <v>10215.040000000001</v>
      </c>
    </row>
    <row r="99" spans="1:88" x14ac:dyDescent="0.25">
      <c r="B99" t="s">
        <v>58</v>
      </c>
      <c r="C99" s="17">
        <v>593402000</v>
      </c>
      <c r="D99" t="s">
        <v>365</v>
      </c>
      <c r="E99" t="str">
        <f t="shared" si="48"/>
        <v>$350 Million - $800 Million</v>
      </c>
      <c r="F99">
        <f>IF(C99="", "", COUNTIF($C$6:C99,"&gt;0"))</f>
        <v>93</v>
      </c>
      <c r="G99" t="str">
        <f>IF(E99&lt;&gt;'[1]By Asset Category'!$B$1,"",COUNTIF($E$6:E99,'[1]By Asset Category'!$B$1))</f>
        <v/>
      </c>
      <c r="H99" t="s">
        <v>366</v>
      </c>
      <c r="I99" t="s">
        <v>38</v>
      </c>
      <c r="J99" t="s">
        <v>367</v>
      </c>
      <c r="K99" t="s">
        <v>368</v>
      </c>
      <c r="L99" s="33"/>
      <c r="M99" s="34">
        <v>0</v>
      </c>
      <c r="N99" s="19">
        <v>0</v>
      </c>
      <c r="O99" s="19">
        <v>0</v>
      </c>
      <c r="P99" s="19">
        <v>0</v>
      </c>
      <c r="Q99" s="19">
        <f t="shared" si="62"/>
        <v>0</v>
      </c>
      <c r="R99" s="34">
        <v>0</v>
      </c>
      <c r="S99" s="19">
        <v>0</v>
      </c>
      <c r="T99" s="19">
        <v>0</v>
      </c>
      <c r="U99" s="19">
        <v>0</v>
      </c>
      <c r="V99" s="19">
        <f t="shared" si="63"/>
        <v>0</v>
      </c>
      <c r="W99" s="26">
        <v>0</v>
      </c>
      <c r="X99" s="21">
        <v>0</v>
      </c>
      <c r="Y99" s="21">
        <v>0</v>
      </c>
      <c r="Z99" s="21"/>
      <c r="AA99" s="22">
        <f t="shared" si="64"/>
        <v>0</v>
      </c>
      <c r="AB99" s="23"/>
      <c r="AC99" s="21"/>
      <c r="AD99" s="21"/>
      <c r="AE99" s="21"/>
      <c r="AF99" s="35">
        <f t="shared" si="65"/>
        <v>0</v>
      </c>
      <c r="AG99" s="23">
        <v>140</v>
      </c>
      <c r="AH99" s="21">
        <v>1425</v>
      </c>
      <c r="AI99" s="21">
        <v>2000</v>
      </c>
      <c r="AJ99" s="21"/>
      <c r="AK99" s="25">
        <f t="shared" si="66"/>
        <v>3565</v>
      </c>
      <c r="AL99" s="23">
        <v>100</v>
      </c>
      <c r="AM99" s="21">
        <v>1050</v>
      </c>
      <c r="AN99" s="21">
        <v>2000</v>
      </c>
      <c r="AO99" s="21"/>
      <c r="AP99" s="25">
        <f t="shared" si="67"/>
        <v>3150</v>
      </c>
      <c r="AQ99" s="23">
        <v>375</v>
      </c>
      <c r="AR99" s="21">
        <v>500</v>
      </c>
      <c r="AS99" s="21">
        <v>2000</v>
      </c>
      <c r="AT99" s="21"/>
      <c r="AU99" s="25">
        <f t="shared" si="68"/>
        <v>2875</v>
      </c>
      <c r="AV99" s="23">
        <v>300</v>
      </c>
      <c r="AW99" s="21">
        <v>700</v>
      </c>
      <c r="AX99" s="21">
        <v>1000</v>
      </c>
      <c r="AY99" s="21"/>
      <c r="AZ99" s="25">
        <f t="shared" si="69"/>
        <v>2000</v>
      </c>
      <c r="BA99" s="23">
        <v>100</v>
      </c>
      <c r="BB99" s="21">
        <v>500</v>
      </c>
      <c r="BC99" s="21">
        <v>2000</v>
      </c>
      <c r="BD99" s="21"/>
      <c r="BE99" s="25">
        <f t="shared" si="70"/>
        <v>2600</v>
      </c>
      <c r="BF99" s="23">
        <v>50</v>
      </c>
      <c r="BG99" s="21">
        <v>200</v>
      </c>
      <c r="BH99" s="21">
        <v>2500</v>
      </c>
      <c r="BI99" s="21"/>
      <c r="BJ99" s="25">
        <f>SUM(BF99:BI99)</f>
        <v>2750</v>
      </c>
      <c r="BK99" s="23">
        <v>800</v>
      </c>
      <c r="BL99" s="21">
        <v>1000</v>
      </c>
      <c r="BM99" s="21">
        <v>2500</v>
      </c>
      <c r="BN99" s="21"/>
      <c r="BO99" s="25">
        <f>SUM(BK99:BN99)</f>
        <v>4300</v>
      </c>
      <c r="BP99" s="23"/>
      <c r="BQ99" s="21"/>
      <c r="BR99" s="21"/>
      <c r="BS99" s="21">
        <v>2000</v>
      </c>
      <c r="BT99" s="25">
        <f t="shared" si="46"/>
        <v>2000</v>
      </c>
      <c r="BU99" s="21"/>
      <c r="BV99" s="26"/>
      <c r="BW99" s="21"/>
      <c r="BX99" s="21"/>
      <c r="BY99" s="21"/>
      <c r="BZ99" s="27">
        <f t="shared" si="49"/>
        <v>0</v>
      </c>
      <c r="CA99" s="26"/>
      <c r="CB99" s="21"/>
      <c r="CC99" s="21"/>
      <c r="CD99" s="21"/>
      <c r="CE99" s="27">
        <f t="shared" si="35"/>
        <v>0</v>
      </c>
      <c r="CF99" s="26"/>
      <c r="CG99" s="21"/>
      <c r="CH99" s="21"/>
      <c r="CI99" s="21"/>
      <c r="CJ99" s="27">
        <f t="shared" si="61"/>
        <v>0</v>
      </c>
    </row>
    <row r="100" spans="1:88" x14ac:dyDescent="0.25">
      <c r="B100" t="s">
        <v>47</v>
      </c>
      <c r="C100" s="17">
        <v>1776718000000</v>
      </c>
      <c r="D100" t="s">
        <v>369</v>
      </c>
      <c r="E100" t="str">
        <f t="shared" si="48"/>
        <v>Over $10 Billion</v>
      </c>
      <c r="F100">
        <f>IF(C100="", "", COUNTIF($C$6:C100,"&gt;0"))</f>
        <v>94</v>
      </c>
      <c r="G100" t="str">
        <f>IF(E100&lt;&gt;'[1]By Asset Category'!$B$1,"",COUNTIF($E$6:E100,'[1]By Asset Category'!$B$1))</f>
        <v/>
      </c>
      <c r="H100" t="s">
        <v>370</v>
      </c>
      <c r="I100" t="s">
        <v>3</v>
      </c>
      <c r="J100" t="s">
        <v>3</v>
      </c>
      <c r="K100" t="s">
        <v>3</v>
      </c>
      <c r="L100" s="33"/>
      <c r="M100" s="34"/>
      <c r="N100" s="19"/>
      <c r="O100" s="19"/>
      <c r="P100" s="19">
        <v>10000</v>
      </c>
      <c r="Q100" s="19">
        <f t="shared" si="62"/>
        <v>10000</v>
      </c>
      <c r="R100" s="34"/>
      <c r="S100" s="19"/>
      <c r="T100" s="19"/>
      <c r="U100" s="19"/>
      <c r="V100" s="19">
        <f t="shared" si="63"/>
        <v>0</v>
      </c>
      <c r="W100" s="26"/>
      <c r="X100" s="21"/>
      <c r="Y100" s="21"/>
      <c r="Z100" s="21"/>
      <c r="AA100" s="22">
        <f t="shared" si="64"/>
        <v>0</v>
      </c>
      <c r="AB100" s="23"/>
      <c r="AC100" s="21"/>
      <c r="AD100" s="21"/>
      <c r="AE100" s="21"/>
      <c r="AF100" s="35">
        <f t="shared" si="65"/>
        <v>0</v>
      </c>
      <c r="AG100" s="23"/>
      <c r="AH100" s="21"/>
      <c r="AI100" s="21"/>
      <c r="AJ100" s="21"/>
      <c r="AK100" s="25">
        <f t="shared" si="66"/>
        <v>0</v>
      </c>
      <c r="AL100" s="23"/>
      <c r="AM100" s="21"/>
      <c r="AN100" s="21"/>
      <c r="AO100" s="21"/>
      <c r="AP100" s="25">
        <f t="shared" si="67"/>
        <v>0</v>
      </c>
      <c r="AQ100" s="23">
        <v>448</v>
      </c>
      <c r="AR100" s="21"/>
      <c r="AS100" s="21"/>
      <c r="AT100" s="21">
        <v>1000</v>
      </c>
      <c r="AU100" s="25">
        <f t="shared" si="68"/>
        <v>1448</v>
      </c>
      <c r="AV100" s="23"/>
      <c r="AW100" s="21"/>
      <c r="AX100" s="21"/>
      <c r="AY100" s="21">
        <v>2000</v>
      </c>
      <c r="AZ100" s="25">
        <f t="shared" si="69"/>
        <v>2000</v>
      </c>
      <c r="BA100" s="23"/>
      <c r="BB100" s="21"/>
      <c r="BC100" s="21"/>
      <c r="BD100" s="21">
        <v>2000</v>
      </c>
      <c r="BE100" s="25">
        <f t="shared" si="70"/>
        <v>2000</v>
      </c>
      <c r="BF100" s="23"/>
      <c r="BG100" s="21"/>
      <c r="BH100" s="21"/>
      <c r="BI100" s="21">
        <v>2000</v>
      </c>
      <c r="BJ100" s="25"/>
      <c r="BK100" s="23"/>
      <c r="BL100" s="21"/>
      <c r="BM100" s="21"/>
      <c r="BN100" s="21">
        <v>2000</v>
      </c>
      <c r="BO100" s="25">
        <f>SUM(BK100:BN100)</f>
        <v>2000</v>
      </c>
      <c r="BP100" s="21"/>
      <c r="BQ100" s="21"/>
      <c r="BR100" s="21"/>
      <c r="BS100" s="21"/>
      <c r="BT100" s="25"/>
      <c r="BU100" s="21"/>
      <c r="BV100" s="26"/>
      <c r="BW100" s="21"/>
      <c r="BX100" s="21"/>
      <c r="BY100" s="21">
        <v>5250</v>
      </c>
      <c r="BZ100" s="27">
        <f t="shared" si="49"/>
        <v>5250</v>
      </c>
      <c r="CA100" s="26"/>
      <c r="CB100" s="21"/>
      <c r="CC100" s="21">
        <v>3000</v>
      </c>
      <c r="CD100" s="21"/>
      <c r="CE100" s="27">
        <f t="shared" si="35"/>
        <v>3000</v>
      </c>
      <c r="CF100" s="26"/>
      <c r="CG100" s="21"/>
      <c r="CH100" s="21">
        <v>3000</v>
      </c>
      <c r="CI100" s="21"/>
      <c r="CJ100" s="27">
        <f t="shared" si="61"/>
        <v>3000</v>
      </c>
    </row>
    <row r="101" spans="1:88" ht="15.75" thickBot="1" x14ac:dyDescent="0.3">
      <c r="B101" t="s">
        <v>47</v>
      </c>
      <c r="C101" s="17">
        <v>9459933000</v>
      </c>
      <c r="D101" t="s">
        <v>371</v>
      </c>
      <c r="E101" t="str">
        <f t="shared" si="48"/>
        <v>$2 Billion - $10 Billion</v>
      </c>
      <c r="F101">
        <f>IF(C101="", "", COUNTIF($C$6:C101,"&gt;0"))</f>
        <v>95</v>
      </c>
      <c r="G101" t="str">
        <f>IF(E101&lt;&gt;'[1]By Asset Category'!$B$1,"",COUNTIF($E$6:E101,'[1]By Asset Category'!$B$1))</f>
        <v/>
      </c>
      <c r="H101" t="s">
        <v>372</v>
      </c>
      <c r="I101" t="s">
        <v>3</v>
      </c>
      <c r="J101" t="s">
        <v>3</v>
      </c>
      <c r="K101" t="s">
        <v>3</v>
      </c>
      <c r="L101" s="65"/>
      <c r="M101" s="19">
        <v>0</v>
      </c>
      <c r="N101" s="19">
        <v>0</v>
      </c>
      <c r="O101" s="19">
        <v>0</v>
      </c>
      <c r="P101" s="19">
        <v>0</v>
      </c>
      <c r="Q101" s="19">
        <f t="shared" si="62"/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f t="shared" si="63"/>
        <v>0</v>
      </c>
      <c r="W101" s="21">
        <v>0</v>
      </c>
      <c r="X101" s="21">
        <v>0</v>
      </c>
      <c r="Y101" s="21">
        <v>0</v>
      </c>
      <c r="Z101" s="21"/>
      <c r="AA101" s="22">
        <f t="shared" si="64"/>
        <v>0</v>
      </c>
      <c r="AB101" s="21"/>
      <c r="AC101" s="21"/>
      <c r="AD101" s="21"/>
      <c r="AE101" s="21"/>
      <c r="AF101" s="35">
        <f t="shared" si="65"/>
        <v>0</v>
      </c>
      <c r="AG101" s="21"/>
      <c r="AH101" s="21"/>
      <c r="AI101" s="21"/>
      <c r="AJ101" s="21"/>
      <c r="AK101" s="22">
        <f t="shared" si="66"/>
        <v>0</v>
      </c>
      <c r="AL101" s="21"/>
      <c r="AM101" s="21"/>
      <c r="AN101" s="21"/>
      <c r="AO101" s="21"/>
      <c r="AP101" s="22">
        <f t="shared" si="67"/>
        <v>0</v>
      </c>
      <c r="AQ101" s="21"/>
      <c r="AR101" s="21"/>
      <c r="AS101" s="21"/>
      <c r="AT101" s="21"/>
      <c r="AU101" s="22">
        <f t="shared" si="68"/>
        <v>0</v>
      </c>
      <c r="AV101" s="21"/>
      <c r="AW101" s="21"/>
      <c r="AX101" s="21"/>
      <c r="AY101" s="21"/>
      <c r="AZ101" s="22">
        <f t="shared" si="69"/>
        <v>0</v>
      </c>
      <c r="BA101" s="21"/>
      <c r="BB101" s="21"/>
      <c r="BC101" s="21"/>
      <c r="BD101" s="21"/>
      <c r="BE101" s="22">
        <f t="shared" si="70"/>
        <v>0</v>
      </c>
      <c r="BF101" s="21"/>
      <c r="BG101" s="21"/>
      <c r="BH101" s="21"/>
      <c r="BI101" s="21"/>
      <c r="BJ101" s="22"/>
      <c r="BK101" s="21"/>
      <c r="BL101" s="21"/>
      <c r="BM101" s="21"/>
      <c r="BN101" s="21"/>
      <c r="BO101" s="25">
        <f>SUM(BK101:BN101)</f>
        <v>0</v>
      </c>
      <c r="BP101" s="21"/>
      <c r="BQ101" s="21"/>
      <c r="BR101" s="21"/>
      <c r="BS101" s="21"/>
      <c r="BT101" s="25">
        <f t="shared" si="46"/>
        <v>0</v>
      </c>
      <c r="BU101" s="21"/>
      <c r="BV101" s="36" t="s">
        <v>3</v>
      </c>
      <c r="BW101" s="21"/>
      <c r="BX101" s="21"/>
      <c r="BY101" s="21"/>
      <c r="BZ101" s="27">
        <f t="shared" si="49"/>
        <v>0</v>
      </c>
      <c r="CA101" s="36"/>
      <c r="CB101" s="21"/>
      <c r="CC101" s="21"/>
      <c r="CD101" s="21"/>
      <c r="CE101" s="27">
        <f t="shared" si="35"/>
        <v>0</v>
      </c>
      <c r="CF101" s="36"/>
      <c r="CG101" s="21"/>
      <c r="CH101" s="21"/>
      <c r="CI101" s="21"/>
      <c r="CJ101" s="27">
        <f t="shared" si="61"/>
        <v>0</v>
      </c>
    </row>
    <row r="102" spans="1:88" ht="15.75" thickBot="1" x14ac:dyDescent="0.3">
      <c r="A102" s="66"/>
      <c r="B102" s="66"/>
      <c r="C102" s="66"/>
      <c r="D102" s="66"/>
      <c r="E102" s="66"/>
      <c r="F102" t="str">
        <f>IF(C102="", "", COUNTIF($C$6:C102,"&gt;0"))</f>
        <v/>
      </c>
      <c r="H102" s="66"/>
      <c r="I102" s="66"/>
      <c r="J102" s="66"/>
      <c r="K102" s="66"/>
      <c r="L102" s="67"/>
      <c r="M102" s="68">
        <f t="shared" ref="M102:AF102" si="71">SUM(M13:M99)</f>
        <v>63629.05</v>
      </c>
      <c r="N102" s="69">
        <f t="shared" si="71"/>
        <v>39230</v>
      </c>
      <c r="O102" s="69">
        <f t="shared" si="71"/>
        <v>44750</v>
      </c>
      <c r="P102" s="69">
        <f t="shared" si="71"/>
        <v>0</v>
      </c>
      <c r="Q102" s="70">
        <f t="shared" si="71"/>
        <v>147609.04999999999</v>
      </c>
      <c r="R102" s="68">
        <f t="shared" si="71"/>
        <v>57877</v>
      </c>
      <c r="S102" s="69">
        <f t="shared" si="71"/>
        <v>36655</v>
      </c>
      <c r="T102" s="69">
        <f t="shared" si="71"/>
        <v>45530</v>
      </c>
      <c r="U102" s="69">
        <f t="shared" si="71"/>
        <v>0</v>
      </c>
      <c r="V102" s="70">
        <f t="shared" si="71"/>
        <v>140062</v>
      </c>
      <c r="W102" s="68">
        <f t="shared" si="71"/>
        <v>62832</v>
      </c>
      <c r="X102" s="69">
        <f t="shared" si="71"/>
        <v>40050</v>
      </c>
      <c r="Y102" s="69">
        <f t="shared" si="71"/>
        <v>67715</v>
      </c>
      <c r="Z102" s="69">
        <f t="shared" si="71"/>
        <v>1000</v>
      </c>
      <c r="AA102" s="70">
        <f t="shared" si="71"/>
        <v>171597</v>
      </c>
      <c r="AB102" s="68">
        <f t="shared" si="71"/>
        <v>64942.71</v>
      </c>
      <c r="AC102" s="69">
        <f t="shared" si="71"/>
        <v>45095</v>
      </c>
      <c r="AD102" s="69">
        <f t="shared" si="71"/>
        <v>73600</v>
      </c>
      <c r="AE102" s="69">
        <f t="shared" si="71"/>
        <v>2500</v>
      </c>
      <c r="AF102" s="70">
        <f t="shared" si="71"/>
        <v>186137.71</v>
      </c>
      <c r="AG102" s="68">
        <f>SUM(AG6:AG99)</f>
        <v>107254</v>
      </c>
      <c r="AH102" s="69">
        <f>SUM(AH6:AH99)</f>
        <v>60460</v>
      </c>
      <c r="AI102" s="69">
        <f>SUM(AI6:AI99)</f>
        <v>107100</v>
      </c>
      <c r="AJ102" s="69">
        <f>SUM(AJ6:AJ99)</f>
        <v>15000</v>
      </c>
      <c r="AK102" s="70">
        <f>SUM(AK6:AK99)</f>
        <v>287814</v>
      </c>
      <c r="AL102" s="68">
        <v>160292.91999999998</v>
      </c>
      <c r="AM102" s="69">
        <v>113530</v>
      </c>
      <c r="AN102" s="69">
        <v>161940</v>
      </c>
      <c r="AO102" s="69">
        <v>37000</v>
      </c>
      <c r="AP102" s="70">
        <v>472762.92</v>
      </c>
      <c r="AQ102" s="68">
        <v>171021</v>
      </c>
      <c r="AR102" s="69">
        <v>79615</v>
      </c>
      <c r="AS102" s="69">
        <v>176715</v>
      </c>
      <c r="AT102" s="69">
        <v>25500</v>
      </c>
      <c r="AU102" s="69">
        <v>452851</v>
      </c>
      <c r="AV102" s="68">
        <f>SUM(AV6:AV100)</f>
        <v>103857</v>
      </c>
      <c r="AW102" s="69">
        <f>SUM(AW6:AW100)</f>
        <v>55025</v>
      </c>
      <c r="AX102" s="69">
        <f>SUM(AX6:AX100)</f>
        <v>123090</v>
      </c>
      <c r="AY102" s="69">
        <f>SUM(AY6:AY100)</f>
        <v>7500</v>
      </c>
      <c r="AZ102" s="70" t="e">
        <f>SUM(AZ6:AZ100)-#REF!-#REF!-#REF!-#REF!</f>
        <v>#REF!</v>
      </c>
      <c r="BA102" s="68">
        <f>SUM(BA6:BA100)</f>
        <v>109806.1</v>
      </c>
      <c r="BB102" s="69">
        <f>SUM(BB6:BB100)</f>
        <v>51550</v>
      </c>
      <c r="BC102" s="69">
        <f>SUM(BC6:BC100)</f>
        <v>125150</v>
      </c>
      <c r="BD102" s="69">
        <f>SUM(BD6:BD100)</f>
        <v>7000</v>
      </c>
      <c r="BE102" s="70" t="e">
        <f>SUM(BE6:BE100)-#REF!-#REF!-#REF!-#REF!</f>
        <v>#REF!</v>
      </c>
      <c r="BF102" s="68">
        <f>SUM(BF6:BF101)</f>
        <v>112232</v>
      </c>
      <c r="BG102" s="69">
        <f>SUM(BG6:BG101)</f>
        <v>50950</v>
      </c>
      <c r="BH102" s="69">
        <f>SUM(BH6:BH101)</f>
        <v>120350</v>
      </c>
      <c r="BI102" s="69">
        <f>SUM(BI92:BI99)</f>
        <v>0</v>
      </c>
      <c r="BJ102" s="70">
        <f>SUM(BF102:BI102)</f>
        <v>283532</v>
      </c>
      <c r="BK102" s="69">
        <f>SUM(BK6:BK101)</f>
        <v>145270.44</v>
      </c>
      <c r="BL102" s="69">
        <f>SUM(BL6:BL101)</f>
        <v>55483.55</v>
      </c>
      <c r="BM102" s="69">
        <f>SUM(BM6:BM101)</f>
        <v>144350</v>
      </c>
      <c r="BN102" s="69">
        <f>SUM(BN92:BN101)</f>
        <v>2000</v>
      </c>
      <c r="BO102" s="70">
        <f>SUM(BK102:BN102)</f>
        <v>347103.99</v>
      </c>
      <c r="BP102" s="69">
        <f>SUM(BP6:BP101)</f>
        <v>123477.07</v>
      </c>
      <c r="BQ102" s="69">
        <f>SUM(BQ6:BQ101)</f>
        <v>56799</v>
      </c>
      <c r="BR102" s="69">
        <f>SUM(BR6:BR101)</f>
        <v>144600</v>
      </c>
      <c r="BS102" s="69">
        <f>SUM(BS6:BS101)</f>
        <v>20000</v>
      </c>
      <c r="BT102" s="69">
        <f>SUM(BP102:BS102)</f>
        <v>344876.07</v>
      </c>
      <c r="BU102" s="69">
        <f>SUM(BU6:BU100)</f>
        <v>18124.8</v>
      </c>
      <c r="BV102" s="68">
        <f>SUM(BV6:BV101)</f>
        <v>124777.63</v>
      </c>
      <c r="BW102" s="69">
        <f>SUM(BW6:BW101)</f>
        <v>75275</v>
      </c>
      <c r="BX102" s="69">
        <f>SUM(BX6:BX101)</f>
        <v>177650</v>
      </c>
      <c r="BY102" s="69">
        <f>SUM(BY6:BY101)</f>
        <v>25750</v>
      </c>
      <c r="BZ102" s="70">
        <f>SUM(BV102:BY102)</f>
        <v>403452.63</v>
      </c>
      <c r="CA102" s="68">
        <f>SUM(CA6:CA101)</f>
        <v>132713.83000000002</v>
      </c>
      <c r="CB102" s="69">
        <f>SUM(CB6:CB101)</f>
        <v>65675</v>
      </c>
      <c r="CC102" s="69">
        <f>SUM(CC6:CC101)</f>
        <v>199250</v>
      </c>
      <c r="CD102" s="69">
        <f>SUM(CD6:CD101)</f>
        <v>12500</v>
      </c>
      <c r="CE102" s="70">
        <f>SUM(CA102:CD102)</f>
        <v>410138.83</v>
      </c>
      <c r="CF102" s="68">
        <f>SUM(CF6:CF101)</f>
        <v>132713.83000000002</v>
      </c>
      <c r="CG102" s="69">
        <f>SUM(CG6:CG101)</f>
        <v>65675</v>
      </c>
      <c r="CH102" s="69">
        <f>SUM(CH6:CH101)</f>
        <v>199250</v>
      </c>
      <c r="CI102" s="69">
        <f>SUM(CI6:CI101)</f>
        <v>12500</v>
      </c>
      <c r="CJ102" s="70">
        <f>SUM(CF102:CI102)</f>
        <v>410138.83</v>
      </c>
    </row>
    <row r="103" spans="1:88" x14ac:dyDescent="0.25">
      <c r="F103" t="str">
        <f>IF(C103="", "", COUNTIF($C$6:C103,"&gt;0"))</f>
        <v/>
      </c>
      <c r="AT103" s="71" t="s">
        <v>373</v>
      </c>
      <c r="AU103" s="1">
        <v>14509</v>
      </c>
      <c r="AY103" s="71" t="s">
        <v>373</v>
      </c>
      <c r="AZ103" s="1">
        <f>1500+8968.23</f>
        <v>10468.23</v>
      </c>
      <c r="BD103" s="71" t="s">
        <v>373</v>
      </c>
      <c r="BE103" s="1">
        <f>7802+1500+500+250</f>
        <v>10052</v>
      </c>
    </row>
    <row r="104" spans="1:88" x14ac:dyDescent="0.25">
      <c r="F104" t="str">
        <f>IF(C104="", "", COUNTIF($C$6:C104,"&gt;0"))</f>
        <v/>
      </c>
      <c r="AT104" s="71" t="s">
        <v>374</v>
      </c>
      <c r="AU104" s="1">
        <f>22757-4000</f>
        <v>18757</v>
      </c>
      <c r="AY104" s="71" t="s">
        <v>375</v>
      </c>
      <c r="AZ104" s="1">
        <f>17835</f>
        <v>17835</v>
      </c>
      <c r="BD104" s="71" t="s">
        <v>375</v>
      </c>
      <c r="BE104" s="1">
        <f>11310</f>
        <v>11310</v>
      </c>
    </row>
    <row r="105" spans="1:88" x14ac:dyDescent="0.25">
      <c r="F105" t="str">
        <f>IF(C105="", "", COUNTIF($C$6:C105,"&gt;0"))</f>
        <v/>
      </c>
      <c r="AT105" s="71"/>
      <c r="AY105" s="71" t="s">
        <v>376</v>
      </c>
      <c r="AZ105" s="1">
        <v>3300</v>
      </c>
      <c r="BD105" s="71" t="s">
        <v>376</v>
      </c>
      <c r="BE105" s="1">
        <v>2450</v>
      </c>
    </row>
    <row r="106" spans="1:88" x14ac:dyDescent="0.25"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G106" s="21"/>
      <c r="BH106" s="21"/>
      <c r="BI106" s="21"/>
      <c r="BO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8" x14ac:dyDescent="0.25"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G107" s="21"/>
    </row>
  </sheetData>
  <mergeCells count="15">
    <mergeCell ref="BV3:BZ3"/>
    <mergeCell ref="CA3:CE3"/>
    <mergeCell ref="CF3:CJ3"/>
    <mergeCell ref="AQ3:AU3"/>
    <mergeCell ref="AV3:AZ3"/>
    <mergeCell ref="BA3:BE3"/>
    <mergeCell ref="BF3:BJ3"/>
    <mergeCell ref="BK3:BO3"/>
    <mergeCell ref="BP3:BT3"/>
    <mergeCell ref="AL3:AP3"/>
    <mergeCell ref="M3:Q3"/>
    <mergeCell ref="R3:V3"/>
    <mergeCell ref="W3:AA3"/>
    <mergeCell ref="AB3:AF3"/>
    <mergeCell ref="AG3:AK3"/>
  </mergeCells>
  <hyperlinks>
    <hyperlink ref="K89" r:id="rId1" display="james.black@myccb.banmk" xr:uid="{0BB0AF36-9CD6-4E6C-B93B-80500AFF7CF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903B3-E4ED-47CF-99C1-D2DE4DE35D2D}">
  <sheetPr>
    <pageSetUpPr fitToPage="1"/>
  </sheetPr>
  <dimension ref="A1:CJ107"/>
  <sheetViews>
    <sheetView tabSelected="1" zoomScale="78" zoomScaleNormal="78" zoomScaleSheetLayoutView="90" workbookViewId="0">
      <pane xSplit="4" ySplit="5" topLeftCell="CA36" activePane="bottomRight" state="frozen"/>
      <selection pane="topRight" activeCell="E1" sqref="E1"/>
      <selection pane="bottomLeft" activeCell="A6" sqref="A6"/>
      <selection pane="bottomRight" activeCell="CC46" sqref="CC46"/>
    </sheetView>
  </sheetViews>
  <sheetFormatPr defaultColWidth="8.85546875" defaultRowHeight="15" x14ac:dyDescent="0.25"/>
  <cols>
    <col min="1" max="1" width="4.5703125" customWidth="1"/>
    <col min="2" max="2" width="11.42578125" customWidth="1"/>
    <col min="3" max="3" width="22.7109375" customWidth="1"/>
    <col min="4" max="4" width="44.42578125" bestFit="1" customWidth="1"/>
    <col min="5" max="5" width="23.85546875" hidden="1" customWidth="1"/>
    <col min="6" max="7" width="8" hidden="1" customWidth="1"/>
    <col min="8" max="8" width="22.5703125" hidden="1" customWidth="1"/>
    <col min="9" max="9" width="29.140625" hidden="1" customWidth="1"/>
    <col min="10" max="10" width="20.42578125" hidden="1" customWidth="1"/>
    <col min="11" max="11" width="41.140625" hidden="1" customWidth="1"/>
    <col min="12" max="12" width="13.42578125" hidden="1" customWidth="1"/>
    <col min="13" max="13" width="10" hidden="1" customWidth="1"/>
    <col min="14" max="14" width="8.42578125" hidden="1" customWidth="1"/>
    <col min="15" max="15" width="10.140625" hidden="1" customWidth="1"/>
    <col min="16" max="16" width="10.42578125" hidden="1" customWidth="1"/>
    <col min="17" max="17" width="9" hidden="1" customWidth="1"/>
    <col min="18" max="18" width="10" hidden="1" customWidth="1"/>
    <col min="19" max="19" width="10.140625" hidden="1" customWidth="1"/>
    <col min="20" max="20" width="10.42578125" hidden="1" customWidth="1"/>
    <col min="21" max="21" width="8.140625" hidden="1" customWidth="1"/>
    <col min="22" max="22" width="9.42578125" hidden="1" customWidth="1"/>
    <col min="23" max="23" width="10" hidden="1" customWidth="1"/>
    <col min="24" max="24" width="9.42578125" hidden="1" customWidth="1"/>
    <col min="25" max="25" width="10.42578125" hidden="1" customWidth="1"/>
    <col min="26" max="26" width="8" hidden="1" customWidth="1"/>
    <col min="27" max="27" width="9" hidden="1" customWidth="1"/>
    <col min="28" max="28" width="10" hidden="1" customWidth="1"/>
    <col min="29" max="29" width="8.42578125" hidden="1" customWidth="1"/>
    <col min="30" max="31" width="10.140625" hidden="1" customWidth="1"/>
    <col min="32" max="32" width="9.85546875" hidden="1" customWidth="1"/>
    <col min="33" max="33" width="10.42578125" style="1" hidden="1" customWidth="1"/>
    <col min="34" max="34" width="9.42578125" style="1" hidden="1" customWidth="1"/>
    <col min="35" max="35" width="10.140625" style="1" hidden="1" customWidth="1"/>
    <col min="36" max="36" width="5.42578125" style="1" hidden="1" customWidth="1"/>
    <col min="37" max="37" width="10" style="1" hidden="1" customWidth="1"/>
    <col min="38" max="38" width="10.42578125" style="1" hidden="1" customWidth="1"/>
    <col min="39" max="39" width="9.42578125" style="1" hidden="1" customWidth="1"/>
    <col min="40" max="40" width="10.140625" style="1" hidden="1" customWidth="1"/>
    <col min="41" max="41" width="8.42578125" style="1" hidden="1" customWidth="1"/>
    <col min="42" max="42" width="10" style="1" hidden="1" customWidth="1"/>
    <col min="43" max="43" width="10.42578125" style="1" hidden="1" customWidth="1"/>
    <col min="44" max="44" width="9.42578125" style="1" hidden="1" customWidth="1"/>
    <col min="45" max="45" width="10.140625" style="1" hidden="1" customWidth="1"/>
    <col min="46" max="46" width="9.42578125" style="1" hidden="1" customWidth="1"/>
    <col min="47" max="47" width="10" style="1" hidden="1" customWidth="1"/>
    <col min="48" max="48" width="2.5703125" style="1" hidden="1" customWidth="1"/>
    <col min="49" max="49" width="9.42578125" style="1" hidden="1" customWidth="1"/>
    <col min="50" max="50" width="10.140625" style="1" hidden="1" customWidth="1"/>
    <col min="51" max="51" width="9.42578125" style="1" hidden="1" customWidth="1"/>
    <col min="52" max="53" width="10" style="1" hidden="1" customWidth="1"/>
    <col min="54" max="54" width="8.42578125" style="1" hidden="1" customWidth="1"/>
    <col min="55" max="55" width="9.85546875" style="1" hidden="1" customWidth="1"/>
    <col min="56" max="56" width="7.85546875" style="1" hidden="1" customWidth="1"/>
    <col min="57" max="57" width="9.85546875" style="1" hidden="1" customWidth="1"/>
    <col min="58" max="58" width="10.42578125" hidden="1" customWidth="1"/>
    <col min="59" max="59" width="9" hidden="1" customWidth="1"/>
    <col min="60" max="60" width="10.140625" hidden="1" customWidth="1"/>
    <col min="61" max="61" width="8.85546875" hidden="1" customWidth="1"/>
    <col min="62" max="62" width="9.42578125" hidden="1" customWidth="1"/>
    <col min="63" max="63" width="10.140625" hidden="1" customWidth="1"/>
    <col min="64" max="64" width="9.140625" hidden="1" customWidth="1"/>
    <col min="65" max="65" width="10" hidden="1" customWidth="1"/>
    <col min="66" max="66" width="9.140625" hidden="1" customWidth="1"/>
    <col min="67" max="67" width="10.42578125" hidden="1" customWidth="1"/>
    <col min="68" max="68" width="10.140625" hidden="1" customWidth="1"/>
    <col min="69" max="69" width="0" hidden="1" customWidth="1"/>
    <col min="70" max="70" width="10.5703125" hidden="1" customWidth="1"/>
    <col min="71" max="71" width="0" hidden="1" customWidth="1"/>
    <col min="72" max="78" width="10.42578125" hidden="1" customWidth="1"/>
    <col min="79" max="83" width="10.42578125" customWidth="1"/>
  </cols>
  <sheetData>
    <row r="1" spans="2:88" x14ac:dyDescent="0.25">
      <c r="D1" t="s">
        <v>3</v>
      </c>
    </row>
    <row r="2" spans="2:88" ht="15.75" thickBot="1" x14ac:dyDescent="0.3">
      <c r="B2" s="2" t="s">
        <v>3</v>
      </c>
      <c r="C2" s="2"/>
    </row>
    <row r="3" spans="2:88" ht="18.75" x14ac:dyDescent="0.3">
      <c r="B3" t="s">
        <v>3</v>
      </c>
      <c r="L3" s="3"/>
      <c r="M3" s="78" t="s">
        <v>4</v>
      </c>
      <c r="N3" s="79"/>
      <c r="O3" s="79"/>
      <c r="P3" s="79"/>
      <c r="Q3" s="80"/>
      <c r="R3" s="78" t="s">
        <v>5</v>
      </c>
      <c r="S3" s="79"/>
      <c r="T3" s="79"/>
      <c r="U3" s="79"/>
      <c r="V3" s="80"/>
      <c r="W3" s="78" t="s">
        <v>6</v>
      </c>
      <c r="X3" s="79"/>
      <c r="Y3" s="79"/>
      <c r="Z3" s="79"/>
      <c r="AA3" s="80"/>
      <c r="AB3" s="78" t="s">
        <v>7</v>
      </c>
      <c r="AC3" s="79"/>
      <c r="AD3" s="79"/>
      <c r="AE3" s="79"/>
      <c r="AF3" s="80"/>
      <c r="AG3" s="75" t="s">
        <v>8</v>
      </c>
      <c r="AH3" s="76"/>
      <c r="AI3" s="76"/>
      <c r="AJ3" s="76"/>
      <c r="AK3" s="77"/>
      <c r="AL3" s="75" t="s">
        <v>9</v>
      </c>
      <c r="AM3" s="76"/>
      <c r="AN3" s="76"/>
      <c r="AO3" s="76"/>
      <c r="AP3" s="77"/>
      <c r="AQ3" s="75" t="s">
        <v>10</v>
      </c>
      <c r="AR3" s="76"/>
      <c r="AS3" s="76"/>
      <c r="AT3" s="76"/>
      <c r="AU3" s="77"/>
      <c r="AV3" s="75" t="s">
        <v>11</v>
      </c>
      <c r="AW3" s="76"/>
      <c r="AX3" s="76"/>
      <c r="AY3" s="76"/>
      <c r="AZ3" s="77"/>
      <c r="BA3" s="75" t="s">
        <v>12</v>
      </c>
      <c r="BB3" s="76"/>
      <c r="BC3" s="76"/>
      <c r="BD3" s="76"/>
      <c r="BE3" s="77"/>
      <c r="BF3" s="75" t="s">
        <v>13</v>
      </c>
      <c r="BG3" s="76"/>
      <c r="BH3" s="76"/>
      <c r="BI3" s="76"/>
      <c r="BJ3" s="77"/>
      <c r="BK3" s="75" t="s">
        <v>14</v>
      </c>
      <c r="BL3" s="76"/>
      <c r="BM3" s="76"/>
      <c r="BN3" s="76"/>
      <c r="BO3" s="77"/>
      <c r="BP3" s="75" t="s">
        <v>15</v>
      </c>
      <c r="BQ3" s="76"/>
      <c r="BR3" s="76"/>
      <c r="BS3" s="76"/>
      <c r="BT3" s="77"/>
      <c r="BU3" s="4"/>
      <c r="BV3" s="75" t="s">
        <v>16</v>
      </c>
      <c r="BW3" s="76"/>
      <c r="BX3" s="76"/>
      <c r="BY3" s="76"/>
      <c r="BZ3" s="77"/>
      <c r="CA3" s="75" t="s">
        <v>17</v>
      </c>
      <c r="CB3" s="76"/>
      <c r="CC3" s="76"/>
      <c r="CD3" s="76"/>
      <c r="CE3" s="77"/>
      <c r="CF3" s="75" t="s">
        <v>377</v>
      </c>
      <c r="CG3" s="76"/>
      <c r="CH3" s="76"/>
      <c r="CI3" s="76"/>
      <c r="CJ3" s="77"/>
    </row>
    <row r="4" spans="2:88" ht="16.5" customHeight="1" x14ac:dyDescent="0.25">
      <c r="M4" s="5"/>
      <c r="Q4" s="6"/>
      <c r="R4" s="5"/>
      <c r="V4" s="6"/>
      <c r="W4" s="5"/>
      <c r="AA4" s="6"/>
      <c r="AB4" s="5"/>
      <c r="AF4" s="6"/>
      <c r="AG4" s="7"/>
      <c r="AK4" s="8"/>
      <c r="AL4" s="7"/>
      <c r="AQ4" s="7"/>
      <c r="AU4" s="8"/>
      <c r="AV4" s="7"/>
      <c r="AZ4" s="8"/>
      <c r="BA4" s="7"/>
      <c r="BE4" s="8"/>
      <c r="BF4" s="7"/>
      <c r="BG4" s="1"/>
      <c r="BH4" s="1"/>
      <c r="BI4" s="1"/>
      <c r="BJ4" s="8"/>
      <c r="BK4" s="7"/>
      <c r="BL4" s="1"/>
      <c r="BM4" s="1"/>
      <c r="BN4" s="1"/>
      <c r="BO4" s="8"/>
      <c r="BP4" s="7"/>
      <c r="BQ4" s="1"/>
      <c r="BR4" s="1"/>
      <c r="BS4" s="1"/>
      <c r="BT4" s="8"/>
      <c r="BU4" s="1"/>
      <c r="BV4" s="7"/>
      <c r="BW4" s="1"/>
      <c r="BX4" s="1"/>
      <c r="BY4" s="1"/>
      <c r="BZ4" s="8"/>
      <c r="CA4" s="7"/>
      <c r="CB4" s="1"/>
      <c r="CC4" s="1"/>
      <c r="CD4" s="1"/>
      <c r="CE4" s="8"/>
      <c r="CF4" s="7"/>
      <c r="CG4" s="1"/>
      <c r="CH4" s="1"/>
      <c r="CI4" s="1"/>
      <c r="CJ4" s="8"/>
    </row>
    <row r="5" spans="2:88" s="9" customFormat="1" ht="48.75" customHeight="1" x14ac:dyDescent="0.25"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10" t="s">
        <v>28</v>
      </c>
      <c r="M5" s="11" t="s">
        <v>29</v>
      </c>
      <c r="N5" s="9" t="s">
        <v>30</v>
      </c>
      <c r="O5" s="9" t="s">
        <v>31</v>
      </c>
      <c r="P5" s="9" t="s">
        <v>32</v>
      </c>
      <c r="Q5" s="12" t="s">
        <v>33</v>
      </c>
      <c r="R5" s="11" t="s">
        <v>29</v>
      </c>
      <c r="S5" s="9" t="s">
        <v>30</v>
      </c>
      <c r="T5" s="9" t="s">
        <v>31</v>
      </c>
      <c r="U5" s="9" t="s">
        <v>32</v>
      </c>
      <c r="V5" s="12" t="s">
        <v>33</v>
      </c>
      <c r="W5" s="11" t="s">
        <v>29</v>
      </c>
      <c r="X5" s="9" t="s">
        <v>30</v>
      </c>
      <c r="Y5" s="9" t="s">
        <v>31</v>
      </c>
      <c r="Z5" s="9" t="s">
        <v>32</v>
      </c>
      <c r="AA5" s="12" t="s">
        <v>33</v>
      </c>
      <c r="AB5" s="11" t="s">
        <v>29</v>
      </c>
      <c r="AC5" s="9" t="s">
        <v>30</v>
      </c>
      <c r="AD5" s="9" t="s">
        <v>31</v>
      </c>
      <c r="AE5" s="9" t="s">
        <v>32</v>
      </c>
      <c r="AF5" s="12" t="s">
        <v>33</v>
      </c>
      <c r="AG5" s="13" t="s">
        <v>29</v>
      </c>
      <c r="AH5" s="14" t="s">
        <v>30</v>
      </c>
      <c r="AI5" s="14" t="s">
        <v>31</v>
      </c>
      <c r="AJ5" s="14" t="s">
        <v>32</v>
      </c>
      <c r="AK5" s="15" t="s">
        <v>33</v>
      </c>
      <c r="AL5" s="13" t="s">
        <v>29</v>
      </c>
      <c r="AM5" s="14" t="s">
        <v>30</v>
      </c>
      <c r="AN5" s="14" t="s">
        <v>31</v>
      </c>
      <c r="AO5" s="14" t="s">
        <v>32</v>
      </c>
      <c r="AP5" s="16" t="s">
        <v>33</v>
      </c>
      <c r="AQ5" s="13" t="s">
        <v>29</v>
      </c>
      <c r="AR5" s="14" t="s">
        <v>30</v>
      </c>
      <c r="AS5" s="14" t="s">
        <v>31</v>
      </c>
      <c r="AT5" s="14" t="s">
        <v>32</v>
      </c>
      <c r="AU5" s="15" t="s">
        <v>33</v>
      </c>
      <c r="AV5" s="13" t="s">
        <v>29</v>
      </c>
      <c r="AW5" s="14" t="s">
        <v>30</v>
      </c>
      <c r="AX5" s="14" t="s">
        <v>31</v>
      </c>
      <c r="AY5" s="14" t="s">
        <v>32</v>
      </c>
      <c r="AZ5" s="15" t="s">
        <v>33</v>
      </c>
      <c r="BA5" s="13" t="s">
        <v>29</v>
      </c>
      <c r="BB5" s="14" t="s">
        <v>30</v>
      </c>
      <c r="BC5" s="14" t="s">
        <v>31</v>
      </c>
      <c r="BD5" s="14" t="s">
        <v>32</v>
      </c>
      <c r="BE5" s="15" t="s">
        <v>33</v>
      </c>
      <c r="BF5" s="13" t="s">
        <v>29</v>
      </c>
      <c r="BG5" s="14" t="s">
        <v>30</v>
      </c>
      <c r="BH5" s="14" t="s">
        <v>31</v>
      </c>
      <c r="BI5" s="14" t="s">
        <v>32</v>
      </c>
      <c r="BJ5" s="15" t="s">
        <v>33</v>
      </c>
      <c r="BK5" s="13" t="s">
        <v>29</v>
      </c>
      <c r="BL5" s="14" t="s">
        <v>30</v>
      </c>
      <c r="BM5" s="14" t="s">
        <v>31</v>
      </c>
      <c r="BN5" s="14" t="s">
        <v>32</v>
      </c>
      <c r="BO5" s="15" t="s">
        <v>33</v>
      </c>
      <c r="BP5" s="13" t="s">
        <v>29</v>
      </c>
      <c r="BQ5" s="14" t="s">
        <v>30</v>
      </c>
      <c r="BR5" s="14" t="s">
        <v>31</v>
      </c>
      <c r="BS5" s="14" t="s">
        <v>32</v>
      </c>
      <c r="BT5" s="15" t="s">
        <v>33</v>
      </c>
      <c r="BU5" s="14" t="s">
        <v>34</v>
      </c>
      <c r="BV5" s="13" t="s">
        <v>29</v>
      </c>
      <c r="BW5" s="14" t="s">
        <v>30</v>
      </c>
      <c r="BX5" s="14" t="s">
        <v>31</v>
      </c>
      <c r="BY5" s="14" t="s">
        <v>32</v>
      </c>
      <c r="BZ5" s="15" t="s">
        <v>33</v>
      </c>
      <c r="CA5" s="13" t="s">
        <v>29</v>
      </c>
      <c r="CB5" s="14" t="s">
        <v>30</v>
      </c>
      <c r="CC5" s="14" t="s">
        <v>31</v>
      </c>
      <c r="CD5" s="14" t="s">
        <v>32</v>
      </c>
      <c r="CE5" s="15" t="s">
        <v>33</v>
      </c>
      <c r="CF5" s="13" t="s">
        <v>29</v>
      </c>
      <c r="CG5" s="14" t="s">
        <v>30</v>
      </c>
      <c r="CH5" s="14" t="s">
        <v>31</v>
      </c>
      <c r="CI5" s="14" t="s">
        <v>32</v>
      </c>
      <c r="CJ5" s="15" t="s">
        <v>33</v>
      </c>
    </row>
    <row r="6" spans="2:88" x14ac:dyDescent="0.25">
      <c r="B6" t="s">
        <v>35</v>
      </c>
      <c r="C6" s="17">
        <v>3189098000</v>
      </c>
      <c r="D6" t="s">
        <v>36</v>
      </c>
      <c r="E6" t="str">
        <f>+IF(C6="","",IF(C6&gt;10000000000,"Over $10 Billion",IF(C6&gt;2000000000,"$2 Billion - $10 Billion",IF(C6&gt;800000000,"$800 Million - $2 Billion",IF(C6&gt;350000000,"$350 Million - $800 Million","Less than $350 Million")))))</f>
        <v>$2 Billion - $10 Billion</v>
      </c>
      <c r="F6">
        <f>IF(C6="", "", COUNTIF($C$6:C6,"&gt;0"))</f>
        <v>1</v>
      </c>
      <c r="G6" t="str">
        <f>IF(E6&lt;&gt;'[1]By Asset Category'!$B$1,"",COUNTIF($E$6:E6,'[1]By Asset Category'!$B$1))</f>
        <v/>
      </c>
      <c r="H6" t="s">
        <v>37</v>
      </c>
      <c r="I6" t="s">
        <v>38</v>
      </c>
      <c r="J6" t="s">
        <v>39</v>
      </c>
      <c r="K6" t="s">
        <v>40</v>
      </c>
      <c r="L6" s="18"/>
      <c r="M6" s="19">
        <v>2275</v>
      </c>
      <c r="N6" s="19">
        <v>0</v>
      </c>
      <c r="O6" s="19">
        <v>0</v>
      </c>
      <c r="P6" s="19"/>
      <c r="Q6" s="20">
        <f>SUM(M6:P6)</f>
        <v>2275</v>
      </c>
      <c r="R6" s="19">
        <v>1850</v>
      </c>
      <c r="S6" s="19">
        <v>0</v>
      </c>
      <c r="T6" s="19">
        <v>0</v>
      </c>
      <c r="U6" s="19"/>
      <c r="V6" s="20">
        <f>SUM(R6:U6)</f>
        <v>1850</v>
      </c>
      <c r="W6" s="21">
        <v>2515</v>
      </c>
      <c r="X6" s="21">
        <v>0</v>
      </c>
      <c r="Y6" s="21">
        <v>1000</v>
      </c>
      <c r="Z6" s="21">
        <v>0</v>
      </c>
      <c r="AA6" s="22">
        <f>SUM(W6:Z6)</f>
        <v>3515</v>
      </c>
      <c r="AB6" s="23">
        <v>2775</v>
      </c>
      <c r="AC6" s="21">
        <v>600</v>
      </c>
      <c r="AD6" s="21">
        <v>1250</v>
      </c>
      <c r="AE6" s="21"/>
      <c r="AF6" s="24">
        <f>SUM(AB6:AE6)</f>
        <v>4625</v>
      </c>
      <c r="AG6" s="23">
        <v>2635</v>
      </c>
      <c r="AH6" s="21">
        <v>600</v>
      </c>
      <c r="AI6" s="21">
        <v>1250</v>
      </c>
      <c r="AJ6" s="21"/>
      <c r="AK6" s="25">
        <f>SUM(AG6:AJ6)</f>
        <v>4485</v>
      </c>
      <c r="AL6" s="23">
        <v>2405</v>
      </c>
      <c r="AM6" s="21">
        <v>1620</v>
      </c>
      <c r="AN6" s="21">
        <v>1250</v>
      </c>
      <c r="AO6" s="21"/>
      <c r="AP6" s="25">
        <f>SUM(AL6:AO6)</f>
        <v>5275</v>
      </c>
      <c r="AQ6" s="23">
        <v>4138</v>
      </c>
      <c r="AR6" s="21">
        <v>725</v>
      </c>
      <c r="AS6" s="21">
        <v>6000</v>
      </c>
      <c r="AT6" s="21"/>
      <c r="AU6" s="25">
        <f>SUM(AQ6:AT6)</f>
        <v>10863</v>
      </c>
      <c r="AV6" s="23">
        <v>7085</v>
      </c>
      <c r="AW6" s="21">
        <v>2250</v>
      </c>
      <c r="AX6" s="21">
        <v>2000</v>
      </c>
      <c r="AY6" s="21"/>
      <c r="AZ6" s="25">
        <f>SUM(AV6:AY6)</f>
        <v>11335</v>
      </c>
      <c r="BA6" s="23">
        <v>5978</v>
      </c>
      <c r="BB6" s="21">
        <v>2750</v>
      </c>
      <c r="BC6" s="21">
        <v>2250</v>
      </c>
      <c r="BD6" s="21"/>
      <c r="BE6" s="25">
        <f>SUM(BA6:BD6)</f>
        <v>10978</v>
      </c>
      <c r="BF6" s="23">
        <v>3946</v>
      </c>
      <c r="BG6" s="21">
        <v>3750</v>
      </c>
      <c r="BH6" s="21">
        <v>3000</v>
      </c>
      <c r="BI6" s="21"/>
      <c r="BJ6" s="25">
        <f>SUM(BF6:BH6)</f>
        <v>10696</v>
      </c>
      <c r="BK6" s="23">
        <v>7740</v>
      </c>
      <c r="BL6" s="21">
        <v>3250</v>
      </c>
      <c r="BM6" s="21">
        <f>3000</f>
        <v>3000</v>
      </c>
      <c r="BN6" s="21"/>
      <c r="BO6" s="25">
        <f>SUM(BK6:BM6)</f>
        <v>13990</v>
      </c>
      <c r="BP6" s="23">
        <v>8359.42</v>
      </c>
      <c r="BQ6" s="21">
        <v>5350</v>
      </c>
      <c r="BR6" s="21">
        <v>3000</v>
      </c>
      <c r="BS6" s="21"/>
      <c r="BT6" s="25">
        <f>SUM(BP6:BS6)</f>
        <v>16709.419999999998</v>
      </c>
      <c r="BU6" s="21">
        <v>1000</v>
      </c>
      <c r="BV6" s="26">
        <v>7235.18</v>
      </c>
      <c r="BW6" s="21">
        <v>4600</v>
      </c>
      <c r="BX6" s="21">
        <v>5000</v>
      </c>
      <c r="BY6" s="21"/>
      <c r="BZ6" s="27">
        <f t="shared" ref="BZ6:BZ71" si="0">SUM(BV6:BY6)</f>
        <v>16835.18</v>
      </c>
      <c r="CA6" s="26">
        <v>1450</v>
      </c>
      <c r="CB6" s="21">
        <v>5700</v>
      </c>
      <c r="CC6" s="21">
        <v>7500</v>
      </c>
      <c r="CD6" s="21"/>
      <c r="CE6" s="27">
        <f t="shared" ref="CE6:CE52" si="1">SUM(CA6:CD6)</f>
        <v>14650</v>
      </c>
      <c r="CF6" s="26">
        <v>2625</v>
      </c>
      <c r="CG6" s="21"/>
      <c r="CH6" s="21"/>
      <c r="CI6" s="21"/>
      <c r="CJ6" s="27">
        <f t="shared" ref="CJ6:CJ37" si="2">SUM(CF6:CI6)</f>
        <v>2625</v>
      </c>
    </row>
    <row r="7" spans="2:88" x14ac:dyDescent="0.25">
      <c r="B7" t="s">
        <v>41</v>
      </c>
      <c r="C7" s="17">
        <v>19953865000</v>
      </c>
      <c r="D7" t="s">
        <v>42</v>
      </c>
      <c r="E7" t="str">
        <f t="shared" ref="E7:E70" si="3">+IF(C7="","",IF(C7&gt;10000000000,"Over $10 Billion",IF(C7&gt;2000000000,"$2 Billion - $10 Billion",IF(C7&gt;800000000,"$800 Million - $2 Billion",IF(C7&gt;350000000,"$350 Million - $800 Million","Less than $350 Million")))))</f>
        <v>Over $10 Billion</v>
      </c>
      <c r="F7">
        <f>IF(C7="", "", COUNTIF($C$6:C7,"&gt;0"))</f>
        <v>2</v>
      </c>
      <c r="G7" t="str">
        <f>IF(E7&lt;&gt;'[1]By Asset Category'!$B$1,"",COUNTIF($E$6:E7,'[1]By Asset Category'!$B$1))</f>
        <v/>
      </c>
      <c r="H7" t="s">
        <v>43</v>
      </c>
      <c r="I7" t="s">
        <v>38</v>
      </c>
      <c r="J7" t="s">
        <v>44</v>
      </c>
      <c r="K7" t="s">
        <v>45</v>
      </c>
      <c r="L7" s="18" t="s">
        <v>46</v>
      </c>
      <c r="M7" s="19">
        <f>4881.17+684+900+1315+3617+3215</f>
        <v>14612.17</v>
      </c>
      <c r="N7" s="19">
        <f>1750+1200+600+600+3200+2975</f>
        <v>10325</v>
      </c>
      <c r="O7" s="19">
        <f>500+5000+20000</f>
        <v>25500</v>
      </c>
      <c r="P7" s="19"/>
      <c r="Q7" s="20">
        <f>SUM(M7:P7)</f>
        <v>50437.17</v>
      </c>
      <c r="R7" s="19">
        <f>5359+1190+725+845+3923+150+3175</f>
        <v>15367</v>
      </c>
      <c r="S7" s="19">
        <f>1950+350+800+600+1600+200+1975</f>
        <v>7475</v>
      </c>
      <c r="T7" s="19">
        <f>5000+7500</f>
        <v>12500</v>
      </c>
      <c r="U7" s="19"/>
      <c r="V7" s="20">
        <f>SUM(R7:U7)</f>
        <v>35342</v>
      </c>
      <c r="W7" s="21">
        <f>775+895+4735+2325+80+3635</f>
        <v>12445</v>
      </c>
      <c r="X7" s="21">
        <f>750+550+3000+1750+50+3650</f>
        <v>9750</v>
      </c>
      <c r="Y7" s="21">
        <f>7500+8250</f>
        <v>15750</v>
      </c>
      <c r="Z7" s="21"/>
      <c r="AA7" s="22">
        <f>SUM(W7:Z7)</f>
        <v>37945</v>
      </c>
      <c r="AB7" s="23">
        <f>20355+4395</f>
        <v>24750</v>
      </c>
      <c r="AC7" s="21">
        <f>8175+3300</f>
        <v>11475</v>
      </c>
      <c r="AD7" s="21">
        <f>10000+8250</f>
        <v>18250</v>
      </c>
      <c r="AE7" s="21"/>
      <c r="AF7" s="24">
        <f>SUM(AB7:AE7)</f>
        <v>54475</v>
      </c>
      <c r="AG7" s="23">
        <f>18438+4050</f>
        <v>22488</v>
      </c>
      <c r="AH7" s="21">
        <f>7350+5600</f>
        <v>12950</v>
      </c>
      <c r="AI7" s="21">
        <f>10000+10000</f>
        <v>20000</v>
      </c>
      <c r="AJ7" s="21"/>
      <c r="AK7" s="25">
        <f>SUM(AG7:AJ7)</f>
        <v>55438</v>
      </c>
      <c r="AL7" s="23">
        <f>17995+5795</f>
        <v>23790</v>
      </c>
      <c r="AM7" s="21">
        <f>7450+5700</f>
        <v>13150</v>
      </c>
      <c r="AN7" s="21">
        <f>10000+12500</f>
        <v>22500</v>
      </c>
      <c r="AO7" s="21"/>
      <c r="AP7" s="25">
        <f>SUM(AL7:AO7)</f>
        <v>59440</v>
      </c>
      <c r="AQ7" s="23">
        <v>21030</v>
      </c>
      <c r="AR7" s="21">
        <v>7000</v>
      </c>
      <c r="AS7" s="21">
        <v>25000</v>
      </c>
      <c r="AT7" s="21"/>
      <c r="AU7" s="25">
        <f>SUM(AQ7:AT7)</f>
        <v>53030</v>
      </c>
      <c r="AV7" s="23">
        <v>24584</v>
      </c>
      <c r="AW7" s="21">
        <v>9900</v>
      </c>
      <c r="AX7" s="21">
        <v>25000</v>
      </c>
      <c r="AY7" s="21"/>
      <c r="AZ7" s="25">
        <f>SUM(AV7:AY7)</f>
        <v>59484</v>
      </c>
      <c r="BA7" s="23">
        <v>24744</v>
      </c>
      <c r="BB7" s="21">
        <v>7500</v>
      </c>
      <c r="BC7" s="21">
        <v>25000</v>
      </c>
      <c r="BD7" s="21"/>
      <c r="BE7" s="25">
        <f>SUM(BA7:BD7)</f>
        <v>57244</v>
      </c>
      <c r="BF7" s="23">
        <v>26639</v>
      </c>
      <c r="BG7" s="21"/>
      <c r="BH7" s="21">
        <v>25000</v>
      </c>
      <c r="BI7" s="21"/>
      <c r="BJ7" s="25">
        <f>SUM(BF7:BI7)</f>
        <v>51639</v>
      </c>
      <c r="BK7" s="23">
        <v>31300</v>
      </c>
      <c r="BL7" s="21">
        <v>4900</v>
      </c>
      <c r="BM7" s="21">
        <v>25000</v>
      </c>
      <c r="BN7" s="21"/>
      <c r="BO7" s="25">
        <f>SUM(BK7:BN7)</f>
        <v>61200</v>
      </c>
      <c r="BP7" s="28">
        <v>6850</v>
      </c>
      <c r="BQ7" s="21">
        <v>2500</v>
      </c>
      <c r="BR7" s="21">
        <v>25000</v>
      </c>
      <c r="BS7" s="21"/>
      <c r="BT7" s="25">
        <f t="shared" ref="BT7:BT66" si="4">SUM(BP7:BS7)</f>
        <v>34350</v>
      </c>
      <c r="BU7" s="21">
        <v>1500</v>
      </c>
      <c r="BV7" s="26">
        <v>4600</v>
      </c>
      <c r="BW7" s="21">
        <v>3000</v>
      </c>
      <c r="BX7" s="21">
        <v>25000</v>
      </c>
      <c r="BY7" s="21"/>
      <c r="BZ7" s="27">
        <f t="shared" si="0"/>
        <v>32600</v>
      </c>
      <c r="CA7" s="26">
        <v>828</v>
      </c>
      <c r="CB7" s="21">
        <v>4000</v>
      </c>
      <c r="CC7" s="21">
        <v>30000</v>
      </c>
      <c r="CD7" s="21"/>
      <c r="CE7" s="27">
        <f t="shared" si="1"/>
        <v>34828</v>
      </c>
      <c r="CF7" s="26">
        <v>11000</v>
      </c>
      <c r="CG7" s="21"/>
      <c r="CH7" s="21"/>
      <c r="CI7" s="21"/>
      <c r="CJ7" s="27">
        <f t="shared" si="2"/>
        <v>11000</v>
      </c>
    </row>
    <row r="8" spans="2:88" x14ac:dyDescent="0.25">
      <c r="B8" t="s">
        <v>47</v>
      </c>
      <c r="C8" s="17">
        <v>2350294000000</v>
      </c>
      <c r="D8" t="s">
        <v>48</v>
      </c>
      <c r="E8" t="str">
        <f t="shared" si="3"/>
        <v>Over $10 Billion</v>
      </c>
      <c r="F8">
        <f>IF(C8="", "", COUNTIF($C$6:C8,"&gt;0"))</f>
        <v>3</v>
      </c>
      <c r="G8" t="str">
        <f>IF(E8&lt;&gt;'[1]By Asset Category'!$B$1,"",COUNTIF($E$6:E8,'[1]By Asset Category'!$B$1))</f>
        <v/>
      </c>
      <c r="H8" t="s">
        <v>49</v>
      </c>
      <c r="I8" t="s">
        <v>50</v>
      </c>
      <c r="J8" t="s">
        <v>51</v>
      </c>
      <c r="K8" t="s">
        <v>52</v>
      </c>
      <c r="L8" s="18"/>
      <c r="M8" s="19"/>
      <c r="N8" s="19"/>
      <c r="O8" s="19"/>
      <c r="P8" s="19">
        <v>10000</v>
      </c>
      <c r="Q8" s="20">
        <f>SUM(M8:P8)</f>
        <v>10000</v>
      </c>
      <c r="R8" s="19"/>
      <c r="S8" s="19"/>
      <c r="T8" s="19"/>
      <c r="U8" s="19">
        <v>10000</v>
      </c>
      <c r="V8" s="20">
        <f>SUM(R8:U8)</f>
        <v>10000</v>
      </c>
      <c r="W8" s="21"/>
      <c r="X8" s="21"/>
      <c r="Y8" s="21"/>
      <c r="Z8" s="21">
        <v>10000</v>
      </c>
      <c r="AA8" s="22">
        <f>SUM(W8:Z8)</f>
        <v>10000</v>
      </c>
      <c r="AB8" s="23"/>
      <c r="AC8" s="21"/>
      <c r="AD8" s="21"/>
      <c r="AE8" s="21">
        <v>10000</v>
      </c>
      <c r="AF8" s="24">
        <f>SUM(AB8:AE8)</f>
        <v>10000</v>
      </c>
      <c r="AG8" s="23"/>
      <c r="AH8" s="21"/>
      <c r="AI8" s="21"/>
      <c r="AJ8" s="21">
        <v>10000</v>
      </c>
      <c r="AK8" s="25">
        <f>SUM(AG8:AJ8)</f>
        <v>10000</v>
      </c>
      <c r="AL8" s="23"/>
      <c r="AM8" s="21"/>
      <c r="AN8" s="21"/>
      <c r="AO8" s="21">
        <v>11000</v>
      </c>
      <c r="AP8" s="25">
        <f>SUM(AL8:AO8)</f>
        <v>11000</v>
      </c>
      <c r="AQ8" s="23"/>
      <c r="AR8" s="21"/>
      <c r="AS8" s="21"/>
      <c r="AT8" s="21"/>
      <c r="AU8" s="25">
        <f>SUM(AQ8:AT8)</f>
        <v>0</v>
      </c>
      <c r="AV8" s="23"/>
      <c r="AW8" s="21"/>
      <c r="AX8" s="21"/>
      <c r="AY8" s="21">
        <v>2000</v>
      </c>
      <c r="AZ8" s="25">
        <f>SUM(AV8:AY8)</f>
        <v>2000</v>
      </c>
      <c r="BA8" s="23"/>
      <c r="BB8" s="21"/>
      <c r="BC8" s="21"/>
      <c r="BD8" s="21"/>
      <c r="BE8" s="25">
        <f>SUM(BA8:BD8)</f>
        <v>0</v>
      </c>
      <c r="BF8" s="23"/>
      <c r="BG8" s="21"/>
      <c r="BH8" s="21"/>
      <c r="BI8" s="21">
        <v>2000</v>
      </c>
      <c r="BJ8" s="25"/>
      <c r="BK8" s="23"/>
      <c r="BL8" s="21"/>
      <c r="BM8" s="21"/>
      <c r="BN8" s="21"/>
      <c r="BO8" s="25"/>
      <c r="BP8" s="23"/>
      <c r="BQ8" s="21"/>
      <c r="BR8" s="21"/>
      <c r="BS8" s="21">
        <v>3000</v>
      </c>
      <c r="BT8" s="25">
        <f t="shared" si="4"/>
        <v>3000</v>
      </c>
      <c r="BU8" s="21"/>
      <c r="BV8" s="26"/>
      <c r="BW8" s="21"/>
      <c r="BX8" s="29" t="s">
        <v>3</v>
      </c>
      <c r="BY8" s="21">
        <v>3000</v>
      </c>
      <c r="BZ8" s="27">
        <f t="shared" si="0"/>
        <v>3000</v>
      </c>
      <c r="CA8" s="26"/>
      <c r="CB8" s="21"/>
      <c r="CC8" s="29">
        <v>3000</v>
      </c>
      <c r="CD8" s="21"/>
      <c r="CE8" s="27">
        <f t="shared" si="1"/>
        <v>3000</v>
      </c>
      <c r="CF8" s="26"/>
      <c r="CG8" s="21"/>
      <c r="CH8" s="29"/>
      <c r="CI8" s="21">
        <v>3000</v>
      </c>
      <c r="CJ8" s="27">
        <f t="shared" si="2"/>
        <v>3000</v>
      </c>
    </row>
    <row r="9" spans="2:88" x14ac:dyDescent="0.25">
      <c r="B9" t="s">
        <v>53</v>
      </c>
      <c r="C9" s="17">
        <v>645341000</v>
      </c>
      <c r="D9" t="s">
        <v>54</v>
      </c>
      <c r="E9" t="str">
        <f t="shared" si="3"/>
        <v>$350 Million - $800 Million</v>
      </c>
      <c r="F9">
        <f>IF(C9="", "", COUNTIF($C$6:C9,"&gt;0"))</f>
        <v>4</v>
      </c>
      <c r="G9" t="str">
        <f>IF(E9&lt;&gt;'[1]By Asset Category'!$B$1,"",COUNTIF($E$6:E9,'[1]By Asset Category'!$B$1))</f>
        <v/>
      </c>
      <c r="H9" t="s">
        <v>55</v>
      </c>
      <c r="I9" t="s">
        <v>38</v>
      </c>
      <c r="J9" t="s">
        <v>56</v>
      </c>
      <c r="K9" t="s">
        <v>57</v>
      </c>
      <c r="L9" s="18" t="s">
        <v>3</v>
      </c>
      <c r="M9" s="19">
        <v>1330</v>
      </c>
      <c r="N9" s="19">
        <v>700</v>
      </c>
      <c r="O9" s="19">
        <v>1000</v>
      </c>
      <c r="P9" s="19"/>
      <c r="Q9" s="20">
        <f>SUM(M9:P9)</f>
        <v>3030</v>
      </c>
      <c r="R9" s="19">
        <v>1930</v>
      </c>
      <c r="S9" s="19">
        <v>700</v>
      </c>
      <c r="T9" s="19">
        <v>1000</v>
      </c>
      <c r="U9" s="19"/>
      <c r="V9" s="20">
        <f>SUM(R9:U9)</f>
        <v>3630</v>
      </c>
      <c r="W9" s="21">
        <v>2260</v>
      </c>
      <c r="X9" s="21">
        <v>600</v>
      </c>
      <c r="Y9" s="21">
        <v>1000</v>
      </c>
      <c r="Z9" s="21">
        <v>0</v>
      </c>
      <c r="AA9" s="22">
        <f>SUM(W9:Z9)</f>
        <v>3860</v>
      </c>
      <c r="AB9" s="23">
        <v>1835</v>
      </c>
      <c r="AC9" s="21">
        <v>400</v>
      </c>
      <c r="AD9" s="21">
        <v>1000</v>
      </c>
      <c r="AE9" s="21"/>
      <c r="AF9" s="24">
        <f>SUM(AB9:AE9)</f>
        <v>3235</v>
      </c>
      <c r="AG9" s="23">
        <v>2685</v>
      </c>
      <c r="AH9" s="21">
        <v>700</v>
      </c>
      <c r="AI9" s="21">
        <v>1000</v>
      </c>
      <c r="AJ9" s="21"/>
      <c r="AK9" s="25">
        <f>SUM(AG9:AJ9)</f>
        <v>4385</v>
      </c>
      <c r="AL9" s="23">
        <v>1390</v>
      </c>
      <c r="AM9" s="21">
        <v>750</v>
      </c>
      <c r="AN9" s="21">
        <v>2700</v>
      </c>
      <c r="AO9" s="21"/>
      <c r="AP9" s="25">
        <f>SUM(AL9:AO9)</f>
        <v>4840</v>
      </c>
      <c r="AQ9" s="23">
        <v>1785</v>
      </c>
      <c r="AR9" s="21">
        <v>600</v>
      </c>
      <c r="AS9" s="21">
        <v>1000</v>
      </c>
      <c r="AT9" s="21"/>
      <c r="AU9" s="25">
        <f>SUM(AQ9:AT9)</f>
        <v>3385</v>
      </c>
      <c r="AV9" s="23">
        <v>1810</v>
      </c>
      <c r="AW9" s="21">
        <v>600</v>
      </c>
      <c r="AX9" s="21">
        <v>1000</v>
      </c>
      <c r="AY9" s="21"/>
      <c r="AZ9" s="25">
        <f>SUM(AV9:AY9)</f>
        <v>3410</v>
      </c>
      <c r="BA9" s="23">
        <v>1830</v>
      </c>
      <c r="BB9" s="21">
        <v>950</v>
      </c>
      <c r="BC9" s="21">
        <v>1000</v>
      </c>
      <c r="BD9" s="21"/>
      <c r="BE9" s="25">
        <f>SUM(BA9:BD9)</f>
        <v>3780</v>
      </c>
      <c r="BF9" s="23">
        <v>2300</v>
      </c>
      <c r="BG9" s="21">
        <v>850</v>
      </c>
      <c r="BH9" s="21">
        <v>1000</v>
      </c>
      <c r="BI9" s="21"/>
      <c r="BJ9" s="25">
        <f>SUM(BF9:BI9)</f>
        <v>4150</v>
      </c>
      <c r="BK9" s="23">
        <v>2210</v>
      </c>
      <c r="BL9" s="21">
        <v>950</v>
      </c>
      <c r="BM9" s="21">
        <v>1000</v>
      </c>
      <c r="BN9" s="21"/>
      <c r="BO9" s="25">
        <f>SUM(BK9:BN9)</f>
        <v>4160</v>
      </c>
      <c r="BP9" s="23">
        <v>2365</v>
      </c>
      <c r="BQ9" s="21">
        <v>1100</v>
      </c>
      <c r="BR9" s="21">
        <v>1000</v>
      </c>
      <c r="BS9" s="21"/>
      <c r="BT9" s="25">
        <f t="shared" si="4"/>
        <v>4465</v>
      </c>
      <c r="BU9" s="21">
        <v>250</v>
      </c>
      <c r="BV9" s="26">
        <v>2369</v>
      </c>
      <c r="BW9" s="21">
        <v>1100</v>
      </c>
      <c r="BX9" s="21">
        <v>1250</v>
      </c>
      <c r="BY9" s="21"/>
      <c r="BZ9" s="27">
        <f t="shared" si="0"/>
        <v>4719</v>
      </c>
      <c r="CA9" s="26">
        <v>2531</v>
      </c>
      <c r="CB9" s="21">
        <v>1500</v>
      </c>
      <c r="CC9" s="21">
        <v>1250</v>
      </c>
      <c r="CD9" s="21"/>
      <c r="CE9" s="27">
        <f t="shared" si="1"/>
        <v>5281</v>
      </c>
      <c r="CF9" s="26">
        <v>1074</v>
      </c>
      <c r="CG9" s="21">
        <v>200</v>
      </c>
      <c r="CH9" s="21">
        <v>1500</v>
      </c>
      <c r="CI9" s="21"/>
      <c r="CJ9" s="27">
        <f t="shared" si="2"/>
        <v>2774</v>
      </c>
    </row>
    <row r="10" spans="2:88" x14ac:dyDescent="0.25">
      <c r="B10" t="s">
        <v>58</v>
      </c>
      <c r="C10" s="17">
        <v>671728000</v>
      </c>
      <c r="D10" t="s">
        <v>59</v>
      </c>
      <c r="E10" t="str">
        <f t="shared" si="3"/>
        <v>$350 Million - $800 Million</v>
      </c>
      <c r="F10">
        <f>IF(C10="", "", COUNTIF($C$6:C10,"&gt;0"))</f>
        <v>5</v>
      </c>
      <c r="G10" t="str">
        <f>IF(E10&lt;&gt;'[1]By Asset Category'!$B$1,"",COUNTIF($E$6:E10,'[1]By Asset Category'!$B$1))</f>
        <v/>
      </c>
      <c r="H10" t="s">
        <v>60</v>
      </c>
      <c r="I10" t="s">
        <v>38</v>
      </c>
      <c r="J10" t="s">
        <v>61</v>
      </c>
      <c r="K10" t="s">
        <v>62</v>
      </c>
      <c r="L10" s="18"/>
      <c r="M10" s="19"/>
      <c r="N10" s="19"/>
      <c r="O10" s="19"/>
      <c r="P10" s="19"/>
      <c r="Q10" s="20"/>
      <c r="R10" s="19"/>
      <c r="S10" s="19"/>
      <c r="T10" s="19"/>
      <c r="U10" s="19"/>
      <c r="V10" s="20"/>
      <c r="W10" s="21"/>
      <c r="X10" s="21"/>
      <c r="Y10" s="21"/>
      <c r="Z10" s="21"/>
      <c r="AA10" s="22"/>
      <c r="AB10" s="23"/>
      <c r="AC10" s="21"/>
      <c r="AD10" s="21"/>
      <c r="AE10" s="21"/>
      <c r="AF10" s="24"/>
      <c r="AG10" s="23"/>
      <c r="AH10" s="21"/>
      <c r="AI10" s="21"/>
      <c r="AJ10" s="21"/>
      <c r="AK10" s="25"/>
      <c r="AL10" s="23"/>
      <c r="AM10" s="21"/>
      <c r="AN10" s="21"/>
      <c r="AO10" s="21"/>
      <c r="AP10" s="25"/>
      <c r="AQ10" s="23"/>
      <c r="AR10" s="21"/>
      <c r="AS10" s="21"/>
      <c r="AT10" s="21"/>
      <c r="AU10" s="25"/>
      <c r="AV10" s="23"/>
      <c r="AW10" s="21"/>
      <c r="AX10" s="21"/>
      <c r="AY10" s="21"/>
      <c r="AZ10" s="25"/>
      <c r="BA10" s="23"/>
      <c r="BB10" s="21"/>
      <c r="BC10" s="21"/>
      <c r="BD10" s="21"/>
      <c r="BE10" s="25"/>
      <c r="BF10" s="23"/>
      <c r="BG10" s="21"/>
      <c r="BH10" s="21"/>
      <c r="BI10" s="21"/>
      <c r="BJ10" s="25"/>
      <c r="BK10" s="23"/>
      <c r="BL10" s="21"/>
      <c r="BM10" s="21"/>
      <c r="BN10" s="21"/>
      <c r="BO10" s="25"/>
      <c r="BP10" s="23"/>
      <c r="BQ10" s="21"/>
      <c r="BR10" s="21"/>
      <c r="BS10" s="21"/>
      <c r="BT10" s="25">
        <f t="shared" si="4"/>
        <v>0</v>
      </c>
      <c r="BU10" s="21"/>
      <c r="BV10" s="26"/>
      <c r="BW10" s="21"/>
      <c r="BX10" s="21"/>
      <c r="BY10" s="21"/>
      <c r="BZ10" s="27">
        <f t="shared" si="0"/>
        <v>0</v>
      </c>
      <c r="CA10" s="26"/>
      <c r="CB10" s="21"/>
      <c r="CC10" s="21"/>
      <c r="CD10" s="21"/>
      <c r="CE10" s="27">
        <f t="shared" si="1"/>
        <v>0</v>
      </c>
      <c r="CF10" s="26"/>
      <c r="CG10" s="21"/>
      <c r="CH10" s="21"/>
      <c r="CI10" s="21"/>
      <c r="CJ10" s="27">
        <f t="shared" si="2"/>
        <v>0</v>
      </c>
    </row>
    <row r="11" spans="2:88" x14ac:dyDescent="0.25">
      <c r="B11" t="s">
        <v>58</v>
      </c>
      <c r="C11" s="17">
        <v>1216368000</v>
      </c>
      <c r="D11" t="s">
        <v>63</v>
      </c>
      <c r="E11" t="str">
        <f t="shared" si="3"/>
        <v>$800 Million - $2 Billion</v>
      </c>
      <c r="F11">
        <f>IF(C11="", "", COUNTIF($C$6:C11,"&gt;0"))</f>
        <v>6</v>
      </c>
      <c r="G11">
        <f>IF(E11&lt;&gt;'[1]By Asset Category'!$B$1,"",COUNTIF($E$6:E11,'[1]By Asset Category'!$B$1))</f>
        <v>1</v>
      </c>
      <c r="H11" s="30" t="s">
        <v>64</v>
      </c>
      <c r="I11" t="s">
        <v>38</v>
      </c>
      <c r="L11" s="18" t="s">
        <v>46</v>
      </c>
      <c r="M11" s="19">
        <v>250</v>
      </c>
      <c r="N11" s="19">
        <v>550</v>
      </c>
      <c r="O11" s="19">
        <v>250</v>
      </c>
      <c r="P11" s="19"/>
      <c r="Q11" s="20">
        <f t="shared" ref="Q11:Q16" si="5">SUM(M11:P11)</f>
        <v>1050</v>
      </c>
      <c r="R11" s="19">
        <v>250</v>
      </c>
      <c r="S11" s="19">
        <v>100</v>
      </c>
      <c r="T11" s="19">
        <v>300</v>
      </c>
      <c r="U11" s="19"/>
      <c r="V11" s="20">
        <f t="shared" ref="V11:V16" si="6">SUM(R11:U11)</f>
        <v>650</v>
      </c>
      <c r="W11" s="21">
        <v>625</v>
      </c>
      <c r="X11" s="21">
        <v>0</v>
      </c>
      <c r="Y11" s="21">
        <v>750</v>
      </c>
      <c r="Z11" s="21">
        <v>0</v>
      </c>
      <c r="AA11" s="22">
        <f t="shared" ref="AA11:AA16" si="7">SUM(W11:Z11)</f>
        <v>1375</v>
      </c>
      <c r="AB11" s="23">
        <v>1975</v>
      </c>
      <c r="AC11" s="21">
        <v>900</v>
      </c>
      <c r="AD11" s="21">
        <v>1000</v>
      </c>
      <c r="AE11" s="21"/>
      <c r="AF11" s="24">
        <f t="shared" ref="AF11:AF16" si="8">SUM(AB11:AE11)</f>
        <v>3875</v>
      </c>
      <c r="AG11" s="23">
        <v>1765</v>
      </c>
      <c r="AH11" s="21">
        <v>800</v>
      </c>
      <c r="AI11" s="21">
        <v>1000</v>
      </c>
      <c r="AJ11" s="21"/>
      <c r="AK11" s="25">
        <f t="shared" ref="AK11:AK16" si="9">SUM(AG11:AJ11)</f>
        <v>3565</v>
      </c>
      <c r="AL11" s="23">
        <v>2030</v>
      </c>
      <c r="AM11" s="21">
        <v>700</v>
      </c>
      <c r="AN11" s="21">
        <v>1250</v>
      </c>
      <c r="AO11" s="21"/>
      <c r="AP11" s="25">
        <f t="shared" ref="AP11:AP16" si="10">SUM(AL11:AO11)</f>
        <v>3980</v>
      </c>
      <c r="AQ11" s="23">
        <v>2690</v>
      </c>
      <c r="AR11" s="21">
        <v>1700</v>
      </c>
      <c r="AS11" s="21">
        <v>1250</v>
      </c>
      <c r="AT11" s="21"/>
      <c r="AU11" s="25">
        <f t="shared" ref="AU11:AU16" si="11">SUM(AQ11:AT11)</f>
        <v>5640</v>
      </c>
      <c r="AV11" s="23">
        <v>1025</v>
      </c>
      <c r="AW11" s="21">
        <v>2050</v>
      </c>
      <c r="AX11" s="21">
        <v>1500</v>
      </c>
      <c r="AY11" s="21"/>
      <c r="AZ11" s="25">
        <f t="shared" ref="AZ11:AZ16" si="12">SUM(AV11:AY11)</f>
        <v>4575</v>
      </c>
      <c r="BA11" s="23">
        <v>1150</v>
      </c>
      <c r="BB11" s="21">
        <v>1150</v>
      </c>
      <c r="BC11" s="21">
        <v>1500</v>
      </c>
      <c r="BD11" s="21"/>
      <c r="BE11" s="25">
        <f t="shared" ref="BE11:BE16" si="13">SUM(BA11:BD11)</f>
        <v>3800</v>
      </c>
      <c r="BF11" s="23">
        <v>1225</v>
      </c>
      <c r="BG11" s="21">
        <v>750</v>
      </c>
      <c r="BH11" s="21">
        <v>1250</v>
      </c>
      <c r="BI11" s="21"/>
      <c r="BJ11" s="25">
        <f>SUM(BF11:BI11)</f>
        <v>3225</v>
      </c>
      <c r="BK11" s="23">
        <v>1245</v>
      </c>
      <c r="BL11" s="21">
        <v>1300</v>
      </c>
      <c r="BM11" s="21">
        <v>1500</v>
      </c>
      <c r="BN11" s="21"/>
      <c r="BO11" s="25">
        <f>SUM(BK11:BN11)</f>
        <v>4045</v>
      </c>
      <c r="BP11" s="23">
        <v>1400</v>
      </c>
      <c r="BQ11" s="21">
        <v>700</v>
      </c>
      <c r="BR11" s="21">
        <v>1650</v>
      </c>
      <c r="BS11" s="21"/>
      <c r="BT11" s="25">
        <f t="shared" si="4"/>
        <v>3750</v>
      </c>
      <c r="BU11" s="21">
        <v>500</v>
      </c>
      <c r="BV11" s="26">
        <v>2580</v>
      </c>
      <c r="BW11" s="21">
        <v>2625</v>
      </c>
      <c r="BX11" s="21">
        <v>2500</v>
      </c>
      <c r="BY11" s="21"/>
      <c r="BZ11" s="27">
        <f t="shared" si="0"/>
        <v>7705</v>
      </c>
      <c r="CA11" s="26">
        <v>2740</v>
      </c>
      <c r="CB11" s="21">
        <v>1375</v>
      </c>
      <c r="CC11" s="21">
        <v>5000</v>
      </c>
      <c r="CD11" s="21"/>
      <c r="CE11" s="27">
        <f t="shared" si="1"/>
        <v>9115</v>
      </c>
      <c r="CF11" s="26">
        <v>525</v>
      </c>
      <c r="CG11" s="21">
        <v>100</v>
      </c>
      <c r="CH11" s="21"/>
      <c r="CI11" s="21"/>
      <c r="CJ11" s="27">
        <f t="shared" si="2"/>
        <v>625</v>
      </c>
    </row>
    <row r="12" spans="2:88" x14ac:dyDescent="0.25">
      <c r="B12" t="s">
        <v>35</v>
      </c>
      <c r="C12" s="17">
        <v>908765000</v>
      </c>
      <c r="D12" t="s">
        <v>65</v>
      </c>
      <c r="E12" t="str">
        <f t="shared" si="3"/>
        <v>$800 Million - $2 Billion</v>
      </c>
      <c r="F12">
        <f>IF(C12="", "", COUNTIF($C$6:C12,"&gt;0"))</f>
        <v>7</v>
      </c>
      <c r="G12">
        <f>IF(E12&lt;&gt;'[1]By Asset Category'!$B$1,"",COUNTIF($E$6:E12,'[1]By Asset Category'!$B$1))</f>
        <v>2</v>
      </c>
      <c r="H12" t="s">
        <v>66</v>
      </c>
      <c r="I12" t="s">
        <v>38</v>
      </c>
      <c r="J12" t="s">
        <v>67</v>
      </c>
      <c r="K12" t="s">
        <v>68</v>
      </c>
      <c r="L12" s="18"/>
      <c r="M12" s="19">
        <v>0</v>
      </c>
      <c r="N12" s="19">
        <v>0</v>
      </c>
      <c r="O12" s="19">
        <v>0</v>
      </c>
      <c r="P12" s="19"/>
      <c r="Q12" s="20">
        <f t="shared" si="5"/>
        <v>0</v>
      </c>
      <c r="R12" s="19">
        <v>0</v>
      </c>
      <c r="S12" s="19">
        <v>0</v>
      </c>
      <c r="T12" s="19">
        <v>100</v>
      </c>
      <c r="U12" s="19"/>
      <c r="V12" s="20">
        <f t="shared" si="6"/>
        <v>100</v>
      </c>
      <c r="W12" s="21">
        <v>0</v>
      </c>
      <c r="X12" s="21">
        <v>0</v>
      </c>
      <c r="Y12" s="21">
        <v>0</v>
      </c>
      <c r="Z12" s="21">
        <v>0</v>
      </c>
      <c r="AA12" s="22">
        <f t="shared" si="7"/>
        <v>0</v>
      </c>
      <c r="AB12" s="23"/>
      <c r="AC12" s="21"/>
      <c r="AD12" s="21"/>
      <c r="AE12" s="21"/>
      <c r="AF12" s="24">
        <f t="shared" si="8"/>
        <v>0</v>
      </c>
      <c r="AG12" s="23"/>
      <c r="AH12" s="21"/>
      <c r="AI12" s="21"/>
      <c r="AJ12" s="21"/>
      <c r="AK12" s="25">
        <f t="shared" si="9"/>
        <v>0</v>
      </c>
      <c r="AL12" s="23"/>
      <c r="AM12" s="21"/>
      <c r="AN12" s="21"/>
      <c r="AO12" s="21"/>
      <c r="AP12" s="25">
        <f t="shared" si="10"/>
        <v>0</v>
      </c>
      <c r="AQ12" s="23"/>
      <c r="AR12" s="21"/>
      <c r="AS12" s="21">
        <v>3500</v>
      </c>
      <c r="AT12" s="21"/>
      <c r="AU12" s="25">
        <f t="shared" si="11"/>
        <v>3500</v>
      </c>
      <c r="AV12" s="23"/>
      <c r="AW12" s="21"/>
      <c r="AX12" s="21">
        <v>3500</v>
      </c>
      <c r="AY12" s="21"/>
      <c r="AZ12" s="25">
        <f t="shared" si="12"/>
        <v>3500</v>
      </c>
      <c r="BA12" s="23"/>
      <c r="BB12" s="21"/>
      <c r="BC12" s="21">
        <v>3500</v>
      </c>
      <c r="BD12" s="21"/>
      <c r="BE12" s="25">
        <f t="shared" si="13"/>
        <v>3500</v>
      </c>
      <c r="BF12" s="23"/>
      <c r="BG12" s="21"/>
      <c r="BH12" s="21">
        <v>3500</v>
      </c>
      <c r="BI12" s="21"/>
      <c r="BJ12" s="25">
        <f>SUM(BF12:BH12)</f>
        <v>3500</v>
      </c>
      <c r="BK12" s="23"/>
      <c r="BL12" s="21"/>
      <c r="BM12" s="21">
        <v>3500</v>
      </c>
      <c r="BN12" s="21"/>
      <c r="BO12" s="25">
        <f>SUM(BK12:BM12)</f>
        <v>3500</v>
      </c>
      <c r="BP12" s="23"/>
      <c r="BQ12" s="21"/>
      <c r="BR12" s="21">
        <v>3500</v>
      </c>
      <c r="BS12" s="21"/>
      <c r="BT12" s="25">
        <f t="shared" si="4"/>
        <v>3500</v>
      </c>
      <c r="BU12" s="21"/>
      <c r="BV12" s="26"/>
      <c r="BW12" s="21"/>
      <c r="BX12" s="21">
        <v>4000</v>
      </c>
      <c r="BY12" s="21"/>
      <c r="BZ12" s="27">
        <f t="shared" si="0"/>
        <v>4000</v>
      </c>
      <c r="CA12" s="26"/>
      <c r="CB12" s="21"/>
      <c r="CC12" s="21">
        <v>4000</v>
      </c>
      <c r="CD12" s="21"/>
      <c r="CE12" s="27">
        <f t="shared" si="1"/>
        <v>4000</v>
      </c>
      <c r="CF12" s="26"/>
      <c r="CG12" s="21"/>
      <c r="CH12" s="21"/>
      <c r="CI12" s="21"/>
      <c r="CJ12" s="27">
        <f t="shared" si="2"/>
        <v>0</v>
      </c>
    </row>
    <row r="13" spans="2:88" x14ac:dyDescent="0.25">
      <c r="B13" t="s">
        <v>35</v>
      </c>
      <c r="C13" s="17">
        <v>978410000</v>
      </c>
      <c r="D13" t="s">
        <v>69</v>
      </c>
      <c r="E13" t="str">
        <f t="shared" si="3"/>
        <v>$800 Million - $2 Billion</v>
      </c>
      <c r="F13">
        <f>IF(C13="", "", COUNTIF($C$6:C13,"&gt;0"))</f>
        <v>8</v>
      </c>
      <c r="G13">
        <f>IF(E13&lt;&gt;'[1]By Asset Category'!$B$1,"",COUNTIF($E$6:E13,'[1]By Asset Category'!$B$1))</f>
        <v>3</v>
      </c>
      <c r="H13" t="s">
        <v>70</v>
      </c>
      <c r="I13" t="s">
        <v>3</v>
      </c>
      <c r="J13" t="s">
        <v>3</v>
      </c>
      <c r="K13" t="s">
        <v>3</v>
      </c>
      <c r="L13" s="18" t="s">
        <v>3</v>
      </c>
      <c r="M13" s="19">
        <v>0</v>
      </c>
      <c r="N13" s="19">
        <v>1100</v>
      </c>
      <c r="O13" s="19">
        <v>1900</v>
      </c>
      <c r="P13" s="19"/>
      <c r="Q13" s="20">
        <f t="shared" si="5"/>
        <v>3000</v>
      </c>
      <c r="R13" s="19">
        <v>0</v>
      </c>
      <c r="S13" s="19">
        <v>925</v>
      </c>
      <c r="T13" s="19">
        <v>2100</v>
      </c>
      <c r="U13" s="19"/>
      <c r="V13" s="20">
        <f t="shared" si="6"/>
        <v>3025</v>
      </c>
      <c r="W13" s="21">
        <v>0</v>
      </c>
      <c r="X13" s="21">
        <v>1100</v>
      </c>
      <c r="Y13" s="21">
        <v>1300</v>
      </c>
      <c r="Z13" s="21"/>
      <c r="AA13" s="22">
        <f t="shared" si="7"/>
        <v>2400</v>
      </c>
      <c r="AB13" s="23"/>
      <c r="AC13" s="21">
        <v>1100</v>
      </c>
      <c r="AD13" s="21">
        <v>1400</v>
      </c>
      <c r="AE13" s="21"/>
      <c r="AF13" s="24">
        <f t="shared" si="8"/>
        <v>2500</v>
      </c>
      <c r="AG13" s="23"/>
      <c r="AH13" s="21"/>
      <c r="AI13" s="21">
        <v>2500</v>
      </c>
      <c r="AJ13" s="21"/>
      <c r="AK13" s="25">
        <f t="shared" si="9"/>
        <v>2500</v>
      </c>
      <c r="AL13" s="23">
        <v>200</v>
      </c>
      <c r="AM13" s="21">
        <v>1100</v>
      </c>
      <c r="AN13" s="21">
        <v>2000</v>
      </c>
      <c r="AO13" s="21"/>
      <c r="AP13" s="25">
        <f t="shared" si="10"/>
        <v>3300</v>
      </c>
      <c r="AQ13" s="23">
        <v>500</v>
      </c>
      <c r="AR13" s="21">
        <v>700</v>
      </c>
      <c r="AS13" s="21">
        <v>2000</v>
      </c>
      <c r="AT13" s="21"/>
      <c r="AU13" s="25">
        <f t="shared" si="11"/>
        <v>3200</v>
      </c>
      <c r="AV13" s="23">
        <v>400</v>
      </c>
      <c r="AW13" s="21">
        <v>900</v>
      </c>
      <c r="AX13" s="21">
        <v>2000</v>
      </c>
      <c r="AY13" s="21"/>
      <c r="AZ13" s="25">
        <f t="shared" si="12"/>
        <v>3300</v>
      </c>
      <c r="BA13" s="23">
        <v>400</v>
      </c>
      <c r="BB13" s="21">
        <v>900</v>
      </c>
      <c r="BC13" s="21">
        <v>2200</v>
      </c>
      <c r="BD13" s="21"/>
      <c r="BE13" s="25">
        <f t="shared" si="13"/>
        <v>3500</v>
      </c>
      <c r="BF13" s="23">
        <v>300</v>
      </c>
      <c r="BG13" s="21">
        <v>1000</v>
      </c>
      <c r="BH13" s="21">
        <v>2200</v>
      </c>
      <c r="BI13" s="21"/>
      <c r="BJ13" s="25">
        <f>SUM(BF13:BH13)</f>
        <v>3500</v>
      </c>
      <c r="BK13" s="23">
        <v>400</v>
      </c>
      <c r="BL13" s="21">
        <v>900</v>
      </c>
      <c r="BM13" s="21">
        <v>2200</v>
      </c>
      <c r="BN13" s="21"/>
      <c r="BO13" s="25">
        <f>SUM(BK13:BM13)</f>
        <v>3500</v>
      </c>
      <c r="BP13" s="23">
        <v>400</v>
      </c>
      <c r="BQ13" s="21">
        <v>900</v>
      </c>
      <c r="BR13" s="21">
        <v>3700</v>
      </c>
      <c r="BS13" s="21"/>
      <c r="BT13" s="25">
        <f t="shared" si="4"/>
        <v>5000</v>
      </c>
      <c r="BU13" s="21">
        <v>100</v>
      </c>
      <c r="BV13" s="26"/>
      <c r="BW13" s="21"/>
      <c r="BX13" s="21">
        <v>5000</v>
      </c>
      <c r="BY13" s="21"/>
      <c r="BZ13" s="27">
        <f t="shared" si="0"/>
        <v>5000</v>
      </c>
      <c r="CA13" s="26"/>
      <c r="CB13" s="21"/>
      <c r="CC13" s="21">
        <v>5000</v>
      </c>
      <c r="CD13" s="21"/>
      <c r="CE13" s="27">
        <f t="shared" si="1"/>
        <v>5000</v>
      </c>
      <c r="CF13" s="26"/>
      <c r="CG13" s="21"/>
      <c r="CH13" s="21">
        <v>5000</v>
      </c>
      <c r="CI13" s="21"/>
      <c r="CJ13" s="27">
        <f t="shared" si="2"/>
        <v>5000</v>
      </c>
    </row>
    <row r="14" spans="2:88" x14ac:dyDescent="0.25">
      <c r="B14" t="s">
        <v>35</v>
      </c>
      <c r="C14" s="17">
        <v>2747488000</v>
      </c>
      <c r="D14" t="s">
        <v>71</v>
      </c>
      <c r="E14" t="str">
        <f t="shared" si="3"/>
        <v>$2 Billion - $10 Billion</v>
      </c>
      <c r="F14">
        <f>IF(C14="", "", COUNTIF($C$6:C14,"&gt;0"))</f>
        <v>9</v>
      </c>
      <c r="G14" t="str">
        <f>IF(E14&lt;&gt;'[1]By Asset Category'!$B$1,"",COUNTIF($E$6:E14,'[1]By Asset Category'!$B$1))</f>
        <v/>
      </c>
      <c r="H14" t="s">
        <v>72</v>
      </c>
      <c r="I14" t="s">
        <v>38</v>
      </c>
      <c r="J14" t="s">
        <v>73</v>
      </c>
      <c r="K14" t="s">
        <v>74</v>
      </c>
      <c r="L14" s="18" t="s">
        <v>3</v>
      </c>
      <c r="M14" s="19">
        <v>1450</v>
      </c>
      <c r="N14" s="19">
        <v>700</v>
      </c>
      <c r="O14" s="19">
        <v>0</v>
      </c>
      <c r="P14" s="19"/>
      <c r="Q14" s="20">
        <f t="shared" si="5"/>
        <v>2150</v>
      </c>
      <c r="R14" s="19">
        <v>1460</v>
      </c>
      <c r="S14" s="19">
        <v>700</v>
      </c>
      <c r="T14" s="19">
        <v>250</v>
      </c>
      <c r="U14" s="19"/>
      <c r="V14" s="20">
        <f t="shared" si="6"/>
        <v>2410</v>
      </c>
      <c r="W14" s="21">
        <v>1275</v>
      </c>
      <c r="X14" s="21">
        <v>675</v>
      </c>
      <c r="Y14" s="21">
        <v>250</v>
      </c>
      <c r="Z14" s="21"/>
      <c r="AA14" s="22">
        <f t="shared" si="7"/>
        <v>2200</v>
      </c>
      <c r="AB14" s="23">
        <v>1010</v>
      </c>
      <c r="AC14" s="21">
        <v>1025</v>
      </c>
      <c r="AD14" s="21">
        <v>500</v>
      </c>
      <c r="AE14" s="21"/>
      <c r="AF14" s="24">
        <f t="shared" si="8"/>
        <v>2535</v>
      </c>
      <c r="AG14" s="23">
        <v>1535</v>
      </c>
      <c r="AH14" s="21">
        <v>1825</v>
      </c>
      <c r="AI14" s="21">
        <v>500</v>
      </c>
      <c r="AJ14" s="21"/>
      <c r="AK14" s="25">
        <f t="shared" si="9"/>
        <v>3860</v>
      </c>
      <c r="AL14" s="23">
        <v>1625</v>
      </c>
      <c r="AM14" s="21">
        <v>1725</v>
      </c>
      <c r="AN14" s="21">
        <v>1000</v>
      </c>
      <c r="AO14" s="21"/>
      <c r="AP14" s="25">
        <f t="shared" si="10"/>
        <v>4350</v>
      </c>
      <c r="AQ14" s="23">
        <v>2630</v>
      </c>
      <c r="AR14" s="21">
        <v>1875</v>
      </c>
      <c r="AS14" s="21">
        <v>500</v>
      </c>
      <c r="AT14" s="21"/>
      <c r="AU14" s="25">
        <f t="shared" si="11"/>
        <v>5005</v>
      </c>
      <c r="AV14" s="23">
        <v>900</v>
      </c>
      <c r="AW14" s="21">
        <v>1875</v>
      </c>
      <c r="AX14" s="21">
        <v>500</v>
      </c>
      <c r="AY14" s="21"/>
      <c r="AZ14" s="25">
        <f t="shared" si="12"/>
        <v>3275</v>
      </c>
      <c r="BA14" s="23">
        <v>2200</v>
      </c>
      <c r="BB14" s="21">
        <v>2100</v>
      </c>
      <c r="BC14" s="21">
        <v>2500</v>
      </c>
      <c r="BD14" s="21"/>
      <c r="BE14" s="25">
        <f t="shared" si="13"/>
        <v>6800</v>
      </c>
      <c r="BF14" s="23">
        <v>2785</v>
      </c>
      <c r="BG14" s="21">
        <v>2025</v>
      </c>
      <c r="BH14" s="21">
        <v>3500</v>
      </c>
      <c r="BI14" s="21"/>
      <c r="BJ14" s="25">
        <f>SUM(BF14:BH14)</f>
        <v>8310</v>
      </c>
      <c r="BK14" s="23">
        <v>2025</v>
      </c>
      <c r="BL14" s="21"/>
      <c r="BM14" s="21">
        <v>3500</v>
      </c>
      <c r="BN14" s="21"/>
      <c r="BO14" s="25">
        <f>SUM(BK14:BM14)</f>
        <v>5525</v>
      </c>
      <c r="BP14" s="23">
        <v>2825</v>
      </c>
      <c r="BQ14" s="21">
        <v>2100</v>
      </c>
      <c r="BR14" s="21">
        <v>2500</v>
      </c>
      <c r="BS14" s="21"/>
      <c r="BT14" s="25">
        <f t="shared" si="4"/>
        <v>7425</v>
      </c>
      <c r="BU14" s="21"/>
      <c r="BV14" s="26"/>
      <c r="BW14" s="21"/>
      <c r="BX14" s="21"/>
      <c r="BY14" s="21"/>
      <c r="BZ14" s="27">
        <f t="shared" si="0"/>
        <v>0</v>
      </c>
      <c r="CA14" s="26">
        <v>750</v>
      </c>
      <c r="CB14" s="21">
        <v>900</v>
      </c>
      <c r="CC14" s="21">
        <v>2500</v>
      </c>
      <c r="CD14" s="21"/>
      <c r="CE14" s="27">
        <f t="shared" si="1"/>
        <v>4150</v>
      </c>
      <c r="CF14" s="26"/>
      <c r="CG14" s="21"/>
      <c r="CH14" s="21"/>
      <c r="CI14" s="21"/>
      <c r="CJ14" s="27">
        <f t="shared" si="2"/>
        <v>0</v>
      </c>
    </row>
    <row r="15" spans="2:88" x14ac:dyDescent="0.25">
      <c r="B15" t="s">
        <v>58</v>
      </c>
      <c r="C15" s="17">
        <v>3554803000</v>
      </c>
      <c r="D15" t="s">
        <v>75</v>
      </c>
      <c r="E15" t="str">
        <f t="shared" si="3"/>
        <v>$2 Billion - $10 Billion</v>
      </c>
      <c r="F15">
        <f>IF(C15="", "", COUNTIF($C$6:C15,"&gt;0"))</f>
        <v>10</v>
      </c>
      <c r="G15" t="str">
        <f>IF(E15&lt;&gt;'[1]By Asset Category'!$B$1,"",COUNTIF($E$6:E15,'[1]By Asset Category'!$B$1))</f>
        <v/>
      </c>
      <c r="H15" s="30" t="s">
        <v>76</v>
      </c>
      <c r="I15" t="s">
        <v>38</v>
      </c>
      <c r="L15" s="18"/>
      <c r="M15" s="19">
        <v>1335</v>
      </c>
      <c r="N15" s="19">
        <v>5250</v>
      </c>
      <c r="O15" s="19">
        <v>0</v>
      </c>
      <c r="P15" s="19"/>
      <c r="Q15" s="20">
        <f t="shared" si="5"/>
        <v>6585</v>
      </c>
      <c r="R15" s="19">
        <v>1780</v>
      </c>
      <c r="S15" s="19">
        <v>3100</v>
      </c>
      <c r="T15" s="19">
        <v>0</v>
      </c>
      <c r="U15" s="19"/>
      <c r="V15" s="20">
        <f t="shared" si="6"/>
        <v>4880</v>
      </c>
      <c r="W15" s="21">
        <v>1755</v>
      </c>
      <c r="X15" s="21">
        <v>3450</v>
      </c>
      <c r="Y15" s="21">
        <v>0</v>
      </c>
      <c r="Z15" s="21"/>
      <c r="AA15" s="22">
        <f t="shared" si="7"/>
        <v>5205</v>
      </c>
      <c r="AB15" s="23">
        <v>800</v>
      </c>
      <c r="AC15" s="21">
        <v>5400</v>
      </c>
      <c r="AD15" s="21"/>
      <c r="AE15" s="21"/>
      <c r="AF15" s="24">
        <f t="shared" si="8"/>
        <v>6200</v>
      </c>
      <c r="AG15" s="23">
        <v>1475</v>
      </c>
      <c r="AH15" s="21">
        <v>5000</v>
      </c>
      <c r="AI15" s="21"/>
      <c r="AJ15" s="21"/>
      <c r="AK15" s="25">
        <f t="shared" si="9"/>
        <v>6475</v>
      </c>
      <c r="AL15" s="23">
        <v>1845</v>
      </c>
      <c r="AM15" s="21">
        <v>4250</v>
      </c>
      <c r="AN15" s="21"/>
      <c r="AO15" s="21"/>
      <c r="AP15" s="25">
        <f t="shared" si="10"/>
        <v>6095</v>
      </c>
      <c r="AQ15" s="23"/>
      <c r="AR15" s="21"/>
      <c r="AS15" s="21"/>
      <c r="AT15" s="21"/>
      <c r="AU15" s="25">
        <f t="shared" si="11"/>
        <v>0</v>
      </c>
      <c r="AV15" s="23"/>
      <c r="AW15" s="21"/>
      <c r="AX15" s="21"/>
      <c r="AY15" s="21"/>
      <c r="AZ15" s="25">
        <f t="shared" si="12"/>
        <v>0</v>
      </c>
      <c r="BA15" s="23"/>
      <c r="BB15" s="21"/>
      <c r="BC15" s="21"/>
      <c r="BD15" s="21"/>
      <c r="BE15" s="25">
        <f t="shared" si="13"/>
        <v>0</v>
      </c>
      <c r="BF15" s="23"/>
      <c r="BG15" s="21"/>
      <c r="BH15" s="21"/>
      <c r="BI15" s="21"/>
      <c r="BJ15" s="25">
        <f>SUM(BF15:BI15)</f>
        <v>0</v>
      </c>
      <c r="BK15" s="23">
        <v>250</v>
      </c>
      <c r="BL15" s="21"/>
      <c r="BM15" s="21"/>
      <c r="BN15" s="21"/>
      <c r="BO15" s="25">
        <f>SUM(BK15:BN15)</f>
        <v>250</v>
      </c>
      <c r="BP15" s="23"/>
      <c r="BQ15" s="21"/>
      <c r="BR15" s="21"/>
      <c r="BS15" s="21"/>
      <c r="BT15" s="25">
        <f t="shared" si="4"/>
        <v>0</v>
      </c>
      <c r="BU15" s="21"/>
      <c r="BV15" s="26">
        <v>1750</v>
      </c>
      <c r="BW15" s="21"/>
      <c r="BX15" s="21">
        <v>5000</v>
      </c>
      <c r="BY15" s="21"/>
      <c r="BZ15" s="27">
        <f t="shared" si="0"/>
        <v>6750</v>
      </c>
      <c r="CA15" s="26">
        <v>500</v>
      </c>
      <c r="CB15" s="21">
        <v>500</v>
      </c>
      <c r="CC15" s="21">
        <v>5000</v>
      </c>
      <c r="CD15" s="21"/>
      <c r="CE15" s="27">
        <f t="shared" si="1"/>
        <v>6000</v>
      </c>
      <c r="CF15" s="26"/>
      <c r="CG15" s="21"/>
      <c r="CH15" s="21"/>
      <c r="CI15" s="21"/>
      <c r="CJ15" s="27">
        <f t="shared" si="2"/>
        <v>0</v>
      </c>
    </row>
    <row r="16" spans="2:88" x14ac:dyDescent="0.25">
      <c r="B16" t="s">
        <v>41</v>
      </c>
      <c r="C16" s="17">
        <v>2137147000</v>
      </c>
      <c r="D16" t="s">
        <v>77</v>
      </c>
      <c r="E16" t="str">
        <f t="shared" si="3"/>
        <v>$2 Billion - $10 Billion</v>
      </c>
      <c r="F16">
        <f>IF(C16="", "", COUNTIF($C$6:C16,"&gt;0"))</f>
        <v>11</v>
      </c>
      <c r="G16" t="str">
        <f>IF(E16&lt;&gt;'[1]By Asset Category'!$B$1,"",COUNTIF($E$6:E16,'[1]By Asset Category'!$B$1))</f>
        <v/>
      </c>
      <c r="H16" t="s">
        <v>78</v>
      </c>
      <c r="I16" t="s">
        <v>3</v>
      </c>
      <c r="J16" t="s">
        <v>3</v>
      </c>
      <c r="K16" t="s">
        <v>3</v>
      </c>
      <c r="L16" s="18" t="s">
        <v>3</v>
      </c>
      <c r="M16" s="19">
        <f>9500+2720</f>
        <v>12220</v>
      </c>
      <c r="N16" s="19">
        <f>1900+1500</f>
        <v>3400</v>
      </c>
      <c r="O16" s="19">
        <f>3500+1000</f>
        <v>4500</v>
      </c>
      <c r="P16" s="19"/>
      <c r="Q16" s="20">
        <f t="shared" si="5"/>
        <v>20120</v>
      </c>
      <c r="R16" s="19">
        <f>10558+2095</f>
        <v>12653</v>
      </c>
      <c r="S16" s="19">
        <f>2500+1200</f>
        <v>3700</v>
      </c>
      <c r="T16" s="19">
        <f>5000+500</f>
        <v>5500</v>
      </c>
      <c r="U16" s="19"/>
      <c r="V16" s="20">
        <f t="shared" si="6"/>
        <v>21853</v>
      </c>
      <c r="W16" s="21">
        <f>10103+895</f>
        <v>10998</v>
      </c>
      <c r="X16" s="21">
        <f>2900+500</f>
        <v>3400</v>
      </c>
      <c r="Y16" s="21">
        <f>7500+500</f>
        <v>8000</v>
      </c>
      <c r="Z16" s="21"/>
      <c r="AA16" s="22">
        <f t="shared" si="7"/>
        <v>22398</v>
      </c>
      <c r="AB16" s="23">
        <f>8732+405</f>
        <v>9137</v>
      </c>
      <c r="AC16" s="21">
        <f>2600+875</f>
        <v>3475</v>
      </c>
      <c r="AD16" s="21">
        <f>7500+500</f>
        <v>8000</v>
      </c>
      <c r="AE16" s="21"/>
      <c r="AF16" s="24">
        <f t="shared" si="8"/>
        <v>20612</v>
      </c>
      <c r="AG16" s="23">
        <f>11501+395</f>
        <v>11896</v>
      </c>
      <c r="AH16" s="21">
        <f>2700+360</f>
        <v>3060</v>
      </c>
      <c r="AI16" s="21">
        <f>10000+500</f>
        <v>10500</v>
      </c>
      <c r="AJ16" s="21"/>
      <c r="AK16" s="25">
        <f t="shared" si="9"/>
        <v>25456</v>
      </c>
      <c r="AL16" s="23">
        <f>8391+315</f>
        <v>8706</v>
      </c>
      <c r="AM16" s="21">
        <f>3930+150</f>
        <v>4080</v>
      </c>
      <c r="AN16" s="21">
        <f>10000+500</f>
        <v>10500</v>
      </c>
      <c r="AO16" s="21"/>
      <c r="AP16" s="25">
        <f t="shared" si="10"/>
        <v>23286</v>
      </c>
      <c r="AQ16" s="23">
        <v>10736</v>
      </c>
      <c r="AR16" s="21">
        <v>3550</v>
      </c>
      <c r="AS16" s="21">
        <v>10000</v>
      </c>
      <c r="AT16" s="21"/>
      <c r="AU16" s="25">
        <f t="shared" si="11"/>
        <v>24286</v>
      </c>
      <c r="AV16" s="23">
        <v>8381</v>
      </c>
      <c r="AW16" s="21">
        <v>4000</v>
      </c>
      <c r="AX16" s="21">
        <v>10000</v>
      </c>
      <c r="AY16" s="21"/>
      <c r="AZ16" s="25">
        <f t="shared" si="12"/>
        <v>22381</v>
      </c>
      <c r="BA16" s="23">
        <v>7993</v>
      </c>
      <c r="BB16" s="21"/>
      <c r="BC16" s="21">
        <v>10000</v>
      </c>
      <c r="BD16" s="21"/>
      <c r="BE16" s="25">
        <f t="shared" si="13"/>
        <v>17993</v>
      </c>
      <c r="BF16" s="23">
        <v>6572</v>
      </c>
      <c r="BG16" s="21">
        <v>1850</v>
      </c>
      <c r="BH16" s="21">
        <v>10000</v>
      </c>
      <c r="BI16" s="21"/>
      <c r="BJ16" s="25">
        <f>SUM(BF16:BI16)</f>
        <v>18422</v>
      </c>
      <c r="BK16" s="23">
        <v>5606</v>
      </c>
      <c r="BL16" s="21">
        <v>2350</v>
      </c>
      <c r="BM16" s="21">
        <v>10000</v>
      </c>
      <c r="BN16" s="21"/>
      <c r="BO16" s="25">
        <f>SUM(BK16:BN16)</f>
        <v>17956</v>
      </c>
      <c r="BP16" s="23">
        <v>5619</v>
      </c>
      <c r="BQ16" s="21">
        <v>2450</v>
      </c>
      <c r="BR16" s="21">
        <v>10000</v>
      </c>
      <c r="BS16" s="21"/>
      <c r="BT16" s="25">
        <f t="shared" si="4"/>
        <v>18069</v>
      </c>
      <c r="BU16" s="21">
        <v>500</v>
      </c>
      <c r="BV16" s="26">
        <v>4786</v>
      </c>
      <c r="BW16" s="21">
        <v>3200</v>
      </c>
      <c r="BX16" s="21">
        <v>10000</v>
      </c>
      <c r="BY16" s="29" t="s">
        <v>3</v>
      </c>
      <c r="BZ16" s="27">
        <f t="shared" si="0"/>
        <v>17986</v>
      </c>
      <c r="CA16" s="26">
        <v>5150</v>
      </c>
      <c r="CB16" s="21">
        <v>4000</v>
      </c>
      <c r="CC16" s="21"/>
      <c r="CD16" s="29">
        <v>10000</v>
      </c>
      <c r="CE16" s="27">
        <f t="shared" si="1"/>
        <v>19150</v>
      </c>
      <c r="CF16" s="26">
        <v>1065</v>
      </c>
      <c r="CG16" s="21"/>
      <c r="CH16" s="21"/>
      <c r="CI16" s="29"/>
      <c r="CJ16" s="27">
        <f t="shared" si="2"/>
        <v>1065</v>
      </c>
    </row>
    <row r="17" spans="2:88" x14ac:dyDescent="0.25">
      <c r="B17" t="s">
        <v>41</v>
      </c>
      <c r="C17" s="17">
        <v>836871000</v>
      </c>
      <c r="D17" t="s">
        <v>79</v>
      </c>
      <c r="E17" t="str">
        <f t="shared" si="3"/>
        <v>$800 Million - $2 Billion</v>
      </c>
      <c r="F17">
        <f>IF(C17="", "", COUNTIF($C$6:C17,"&gt;0"))</f>
        <v>12</v>
      </c>
      <c r="G17">
        <f>IF(E17&lt;&gt;'[1]By Asset Category'!$B$1,"",COUNTIF($E$6:E17,'[1]By Asset Category'!$B$1))</f>
        <v>4</v>
      </c>
      <c r="H17" s="30" t="s">
        <v>80</v>
      </c>
      <c r="I17" t="s">
        <v>81</v>
      </c>
      <c r="L17" s="18"/>
      <c r="M17" s="19"/>
      <c r="N17" s="19"/>
      <c r="O17" s="19"/>
      <c r="P17" s="19"/>
      <c r="Q17" s="20"/>
      <c r="R17" s="19"/>
      <c r="S17" s="19"/>
      <c r="T17" s="19"/>
      <c r="U17" s="19"/>
      <c r="V17" s="20"/>
      <c r="W17" s="21"/>
      <c r="X17" s="21"/>
      <c r="Y17" s="21"/>
      <c r="Z17" s="21"/>
      <c r="AA17" s="22"/>
      <c r="AB17" s="23"/>
      <c r="AC17" s="21"/>
      <c r="AD17" s="21"/>
      <c r="AE17" s="21"/>
      <c r="AF17" s="24"/>
      <c r="AG17" s="23"/>
      <c r="AH17" s="21"/>
      <c r="AI17" s="21"/>
      <c r="AJ17" s="21"/>
      <c r="AK17" s="25"/>
      <c r="AL17" s="23"/>
      <c r="AM17" s="21"/>
      <c r="AN17" s="21"/>
      <c r="AO17" s="21"/>
      <c r="AP17" s="25"/>
      <c r="AQ17" s="23"/>
      <c r="AR17" s="21"/>
      <c r="AS17" s="21"/>
      <c r="AT17" s="21"/>
      <c r="AU17" s="25"/>
      <c r="AV17" s="23"/>
      <c r="AW17" s="21"/>
      <c r="AX17" s="21"/>
      <c r="AY17" s="21"/>
      <c r="AZ17" s="25"/>
      <c r="BA17" s="23"/>
      <c r="BB17" s="21"/>
      <c r="BC17" s="21"/>
      <c r="BD17" s="21"/>
      <c r="BE17" s="25"/>
      <c r="BF17" s="23"/>
      <c r="BG17" s="21"/>
      <c r="BH17" s="21"/>
      <c r="BI17" s="21"/>
      <c r="BJ17" s="25"/>
      <c r="BK17" s="23"/>
      <c r="BL17" s="21"/>
      <c r="BM17" s="21"/>
      <c r="BN17" s="21"/>
      <c r="BO17" s="25"/>
      <c r="BP17" s="23"/>
      <c r="BQ17" s="21"/>
      <c r="BR17" s="21"/>
      <c r="BS17" s="21"/>
      <c r="BT17" s="25">
        <f t="shared" si="4"/>
        <v>0</v>
      </c>
      <c r="BU17" s="21"/>
      <c r="BV17" s="26"/>
      <c r="BW17" s="21"/>
      <c r="BX17" s="21"/>
      <c r="BY17" s="21"/>
      <c r="BZ17" s="27">
        <f t="shared" si="0"/>
        <v>0</v>
      </c>
      <c r="CA17" s="26"/>
      <c r="CB17" s="21"/>
      <c r="CC17" s="21"/>
      <c r="CD17" s="21"/>
      <c r="CE17" s="27">
        <f t="shared" si="1"/>
        <v>0</v>
      </c>
      <c r="CF17" s="26"/>
      <c r="CG17" s="21"/>
      <c r="CH17" s="21"/>
      <c r="CI17" s="21"/>
      <c r="CJ17" s="27">
        <f t="shared" si="2"/>
        <v>0</v>
      </c>
    </row>
    <row r="18" spans="2:88" x14ac:dyDescent="0.25">
      <c r="B18" t="s">
        <v>58</v>
      </c>
      <c r="C18" s="17">
        <v>2120225000</v>
      </c>
      <c r="D18" t="s">
        <v>82</v>
      </c>
      <c r="E18" t="str">
        <f t="shared" si="3"/>
        <v>$2 Billion - $10 Billion</v>
      </c>
      <c r="F18">
        <f>IF(C18="", "", COUNTIF($C$6:C18,"&gt;0"))</f>
        <v>13</v>
      </c>
      <c r="G18" t="str">
        <f>IF(E18&lt;&gt;'[1]By Asset Category'!$B$1,"",COUNTIF($E$6:E18,'[1]By Asset Category'!$B$1))</f>
        <v/>
      </c>
      <c r="H18" t="s">
        <v>83</v>
      </c>
      <c r="L18" s="18"/>
      <c r="M18" s="19"/>
      <c r="N18" s="19"/>
      <c r="O18" s="19"/>
      <c r="P18" s="19"/>
      <c r="Q18" s="20"/>
      <c r="R18" s="19"/>
      <c r="S18" s="19"/>
      <c r="T18" s="19"/>
      <c r="U18" s="19"/>
      <c r="V18" s="20"/>
      <c r="W18" s="21"/>
      <c r="X18" s="21"/>
      <c r="Y18" s="21"/>
      <c r="Z18" s="21"/>
      <c r="AA18" s="22"/>
      <c r="AB18" s="23"/>
      <c r="AC18" s="21"/>
      <c r="AD18" s="21"/>
      <c r="AE18" s="21"/>
      <c r="AF18" s="24"/>
      <c r="AG18" s="23"/>
      <c r="AH18" s="21"/>
      <c r="AI18" s="21"/>
      <c r="AJ18" s="21"/>
      <c r="AK18" s="25"/>
      <c r="AL18" s="23"/>
      <c r="AM18" s="21"/>
      <c r="AN18" s="21"/>
      <c r="AO18" s="21"/>
      <c r="AP18" s="25"/>
      <c r="AQ18" s="23"/>
      <c r="AR18" s="21"/>
      <c r="AS18" s="21"/>
      <c r="AT18" s="21"/>
      <c r="AU18" s="25"/>
      <c r="AV18" s="23"/>
      <c r="AW18" s="21"/>
      <c r="AX18" s="21"/>
      <c r="AY18" s="21"/>
      <c r="AZ18" s="25"/>
      <c r="BA18" s="23"/>
      <c r="BB18" s="21"/>
      <c r="BC18" s="21"/>
      <c r="BD18" s="21"/>
      <c r="BE18" s="25"/>
      <c r="BF18" s="23"/>
      <c r="BG18" s="21"/>
      <c r="BH18" s="21"/>
      <c r="BI18" s="21"/>
      <c r="BJ18" s="25"/>
      <c r="BK18" s="23"/>
      <c r="BL18" s="21"/>
      <c r="BM18" s="21"/>
      <c r="BN18" s="21"/>
      <c r="BO18" s="25"/>
      <c r="BP18" s="23"/>
      <c r="BQ18" s="21"/>
      <c r="BR18" s="21"/>
      <c r="BS18" s="21"/>
      <c r="BT18" s="25">
        <f t="shared" si="4"/>
        <v>0</v>
      </c>
      <c r="BU18" s="21"/>
      <c r="BV18" s="26"/>
      <c r="BW18" s="21"/>
      <c r="BX18" s="21"/>
      <c r="BY18" s="21"/>
      <c r="BZ18" s="27">
        <f t="shared" si="0"/>
        <v>0</v>
      </c>
      <c r="CA18" s="26"/>
      <c r="CB18" s="21"/>
      <c r="CC18" s="21"/>
      <c r="CD18" s="21"/>
      <c r="CE18" s="27">
        <f t="shared" si="1"/>
        <v>0</v>
      </c>
      <c r="CF18" s="26"/>
      <c r="CG18" s="21"/>
      <c r="CH18" s="21"/>
      <c r="CI18" s="21"/>
      <c r="CJ18" s="27">
        <f t="shared" si="2"/>
        <v>0</v>
      </c>
    </row>
    <row r="19" spans="2:88" x14ac:dyDescent="0.25">
      <c r="B19" t="s">
        <v>58</v>
      </c>
      <c r="C19" s="17">
        <v>195720000</v>
      </c>
      <c r="D19" t="s">
        <v>84</v>
      </c>
      <c r="E19" t="str">
        <f t="shared" si="3"/>
        <v>Less than $350 Million</v>
      </c>
      <c r="F19">
        <f>IF(C19="", "", COUNTIF($C$6:C19,"&gt;0"))</f>
        <v>14</v>
      </c>
      <c r="G19" t="str">
        <f>IF(E19&lt;&gt;'[1]By Asset Category'!$B$1,"",COUNTIF($E$6:E19,'[1]By Asset Category'!$B$1))</f>
        <v/>
      </c>
      <c r="H19" s="30" t="s">
        <v>85</v>
      </c>
      <c r="I19" t="s">
        <v>86</v>
      </c>
      <c r="L19" s="18"/>
      <c r="M19" s="19">
        <v>0</v>
      </c>
      <c r="N19" s="19">
        <v>0</v>
      </c>
      <c r="O19" s="19">
        <v>0</v>
      </c>
      <c r="P19" s="19">
        <v>0</v>
      </c>
      <c r="Q19" s="20">
        <f t="shared" ref="Q19:Q25" si="14">SUM(M19:P19)</f>
        <v>0</v>
      </c>
      <c r="R19" s="19">
        <v>0</v>
      </c>
      <c r="S19" s="19">
        <v>0</v>
      </c>
      <c r="T19" s="19">
        <v>0</v>
      </c>
      <c r="U19" s="19">
        <v>0</v>
      </c>
      <c r="V19" s="20">
        <f t="shared" ref="V19:V25" si="15">SUM(R19:U19)</f>
        <v>0</v>
      </c>
      <c r="W19" s="21">
        <v>0</v>
      </c>
      <c r="X19" s="21">
        <v>0</v>
      </c>
      <c r="Y19" s="21">
        <v>0</v>
      </c>
      <c r="Z19" s="21">
        <v>0</v>
      </c>
      <c r="AA19" s="22">
        <f t="shared" ref="AA19:AA25" si="16">SUM(W19:Z19)</f>
        <v>0</v>
      </c>
      <c r="AB19" s="23"/>
      <c r="AC19" s="21"/>
      <c r="AD19" s="21"/>
      <c r="AE19" s="21"/>
      <c r="AF19" s="24">
        <f t="shared" ref="AF19:AF25" si="17">SUM(AB19:AE19)</f>
        <v>0</v>
      </c>
      <c r="AG19" s="23"/>
      <c r="AH19" s="21"/>
      <c r="AI19" s="21"/>
      <c r="AJ19" s="21"/>
      <c r="AK19" s="25">
        <f t="shared" ref="AK19:AK25" si="18">SUM(AG19:AJ19)</f>
        <v>0</v>
      </c>
      <c r="AL19" s="23"/>
      <c r="AM19" s="21"/>
      <c r="AN19" s="21"/>
      <c r="AO19" s="21"/>
      <c r="AP19" s="25">
        <f t="shared" ref="AP19:AP25" si="19">SUM(AL19:AO19)</f>
        <v>0</v>
      </c>
      <c r="AQ19" s="23"/>
      <c r="AR19" s="21"/>
      <c r="AS19" s="21"/>
      <c r="AT19" s="21"/>
      <c r="AU19" s="25">
        <f t="shared" ref="AU19:AU30" si="20">SUM(AQ19:AT19)</f>
        <v>0</v>
      </c>
      <c r="AV19" s="23"/>
      <c r="AW19" s="21"/>
      <c r="AX19" s="21"/>
      <c r="AY19" s="21"/>
      <c r="AZ19" s="25">
        <f t="shared" ref="AZ19:AZ58" si="21">SUM(AV19:AY19)</f>
        <v>0</v>
      </c>
      <c r="BA19" s="23"/>
      <c r="BB19" s="21"/>
      <c r="BC19" s="21"/>
      <c r="BD19" s="21"/>
      <c r="BE19" s="25">
        <f t="shared" ref="BE19:BE54" si="22">SUM(BA19:BD19)</f>
        <v>0</v>
      </c>
      <c r="BF19" s="23"/>
      <c r="BG19" s="21"/>
      <c r="BH19" s="21"/>
      <c r="BI19" s="21"/>
      <c r="BJ19" s="25">
        <f>SUM(BF19:BI19)</f>
        <v>0</v>
      </c>
      <c r="BK19" s="23"/>
      <c r="BL19" s="21"/>
      <c r="BM19" s="21"/>
      <c r="BN19" s="21"/>
      <c r="BO19" s="25">
        <f>SUM(BK19:BN19)</f>
        <v>0</v>
      </c>
      <c r="BP19" s="23"/>
      <c r="BQ19" s="21"/>
      <c r="BR19" s="21"/>
      <c r="BS19" s="21"/>
      <c r="BT19" s="25">
        <f t="shared" si="4"/>
        <v>0</v>
      </c>
      <c r="BU19" s="21"/>
      <c r="BV19" s="26"/>
      <c r="BW19" s="21"/>
      <c r="BX19" s="21"/>
      <c r="BY19" s="21"/>
      <c r="BZ19" s="27">
        <f t="shared" si="0"/>
        <v>0</v>
      </c>
      <c r="CA19" s="26"/>
      <c r="CB19" s="21"/>
      <c r="CC19" s="21"/>
      <c r="CD19" s="21"/>
      <c r="CE19" s="27">
        <f t="shared" si="1"/>
        <v>0</v>
      </c>
      <c r="CF19" s="26"/>
      <c r="CG19" s="21"/>
      <c r="CH19" s="21"/>
      <c r="CI19" s="21"/>
      <c r="CJ19" s="27">
        <f t="shared" si="2"/>
        <v>0</v>
      </c>
    </row>
    <row r="20" spans="2:88" x14ac:dyDescent="0.25">
      <c r="B20" t="s">
        <v>47</v>
      </c>
      <c r="C20" s="17">
        <v>421600000000</v>
      </c>
      <c r="D20" t="s">
        <v>87</v>
      </c>
      <c r="E20" t="str">
        <f t="shared" si="3"/>
        <v>Over $10 Billion</v>
      </c>
      <c r="F20">
        <f>IF(C20="", "", COUNTIF($C$6:C20,"&gt;0"))</f>
        <v>15</v>
      </c>
      <c r="G20" t="str">
        <f>IF(E20&lt;&gt;'[1]By Asset Category'!$B$1,"",COUNTIF($E$6:E20,'[1]By Asset Category'!$B$1))</f>
        <v/>
      </c>
      <c r="H20" s="30" t="s">
        <v>88</v>
      </c>
      <c r="L20" s="18"/>
      <c r="M20" s="19"/>
      <c r="N20" s="19"/>
      <c r="O20" s="19"/>
      <c r="P20" s="19"/>
      <c r="Q20" s="20"/>
      <c r="R20" s="19"/>
      <c r="S20" s="19"/>
      <c r="T20" s="19"/>
      <c r="U20" s="19"/>
      <c r="V20" s="20"/>
      <c r="W20" s="21"/>
      <c r="X20" s="21"/>
      <c r="Y20" s="21"/>
      <c r="Z20" s="21"/>
      <c r="AA20" s="22"/>
      <c r="AB20" s="23"/>
      <c r="AC20" s="21"/>
      <c r="AD20" s="21"/>
      <c r="AE20" s="21"/>
      <c r="AF20" s="24"/>
      <c r="AG20" s="23"/>
      <c r="AH20" s="21"/>
      <c r="AI20" s="21"/>
      <c r="AJ20" s="21"/>
      <c r="AK20" s="25"/>
      <c r="AL20" s="23"/>
      <c r="AM20" s="21"/>
      <c r="AN20" s="21"/>
      <c r="AO20" s="21"/>
      <c r="AP20" s="25"/>
      <c r="AQ20" s="23"/>
      <c r="AR20" s="21"/>
      <c r="AS20" s="21"/>
      <c r="AT20" s="21"/>
      <c r="AU20" s="25"/>
      <c r="AV20" s="23"/>
      <c r="AW20" s="21"/>
      <c r="AX20" s="21"/>
      <c r="AY20" s="21"/>
      <c r="AZ20" s="25"/>
      <c r="BA20" s="23"/>
      <c r="BB20" s="21"/>
      <c r="BC20" s="21"/>
      <c r="BD20" s="21"/>
      <c r="BE20" s="25"/>
      <c r="BF20" s="23"/>
      <c r="BG20" s="21"/>
      <c r="BH20" s="21"/>
      <c r="BI20" s="21"/>
      <c r="BJ20" s="25"/>
      <c r="BK20" s="23"/>
      <c r="BL20" s="21"/>
      <c r="BM20" s="21"/>
      <c r="BN20" s="21"/>
      <c r="BO20" s="25"/>
      <c r="BP20" s="23"/>
      <c r="BQ20" s="21"/>
      <c r="BR20" s="21"/>
      <c r="BS20" s="21"/>
      <c r="BT20" s="25"/>
      <c r="BU20" s="21"/>
      <c r="BV20" s="26"/>
      <c r="BW20" s="21"/>
      <c r="BX20" s="29" t="s">
        <v>3</v>
      </c>
      <c r="BY20" s="21">
        <v>2500</v>
      </c>
      <c r="BZ20" s="27">
        <f t="shared" si="0"/>
        <v>2500</v>
      </c>
      <c r="CA20" s="26"/>
      <c r="CB20" s="21"/>
      <c r="CC20" s="29">
        <v>2500</v>
      </c>
      <c r="CD20" s="21">
        <v>2500</v>
      </c>
      <c r="CE20" s="27">
        <f t="shared" si="1"/>
        <v>5000</v>
      </c>
      <c r="CF20" s="26"/>
      <c r="CG20" s="21"/>
      <c r="CH20" s="29"/>
      <c r="CI20" s="21">
        <v>2500</v>
      </c>
      <c r="CJ20" s="27">
        <f t="shared" si="2"/>
        <v>2500</v>
      </c>
    </row>
    <row r="21" spans="2:88" x14ac:dyDescent="0.25">
      <c r="B21" t="s">
        <v>35</v>
      </c>
      <c r="C21" s="17">
        <v>4120513000</v>
      </c>
      <c r="D21" s="31" t="s">
        <v>89</v>
      </c>
      <c r="E21" t="str">
        <f t="shared" si="3"/>
        <v>$2 Billion - $10 Billion</v>
      </c>
      <c r="F21">
        <f>IF(C21="", "", COUNTIF($C$6:C21,"&gt;0"))</f>
        <v>16</v>
      </c>
      <c r="G21" t="str">
        <f>IF(E21&lt;&gt;'[1]By Asset Category'!$B$1,"",COUNTIF($E$6:E21,'[1]By Asset Category'!$B$1))</f>
        <v/>
      </c>
      <c r="H21" t="s">
        <v>90</v>
      </c>
      <c r="I21" t="s">
        <v>91</v>
      </c>
      <c r="J21" t="s">
        <v>92</v>
      </c>
      <c r="K21" t="s">
        <v>93</v>
      </c>
      <c r="L21" s="18" t="s">
        <v>46</v>
      </c>
      <c r="M21" s="19">
        <v>0</v>
      </c>
      <c r="N21" s="19">
        <v>0</v>
      </c>
      <c r="O21" s="19">
        <v>0</v>
      </c>
      <c r="P21" s="19">
        <v>0</v>
      </c>
      <c r="Q21" s="20">
        <f t="shared" si="14"/>
        <v>0</v>
      </c>
      <c r="R21" s="19">
        <v>0</v>
      </c>
      <c r="S21" s="19">
        <v>0</v>
      </c>
      <c r="T21" s="19">
        <v>0</v>
      </c>
      <c r="U21" s="19">
        <v>0</v>
      </c>
      <c r="V21" s="20">
        <f t="shared" si="15"/>
        <v>0</v>
      </c>
      <c r="W21" s="21">
        <v>0</v>
      </c>
      <c r="X21" s="21">
        <v>0</v>
      </c>
      <c r="Y21" s="21">
        <v>0</v>
      </c>
      <c r="Z21" s="21">
        <v>0</v>
      </c>
      <c r="AA21" s="22">
        <f t="shared" si="16"/>
        <v>0</v>
      </c>
      <c r="AB21" s="23"/>
      <c r="AC21" s="21"/>
      <c r="AD21" s="21"/>
      <c r="AE21" s="21"/>
      <c r="AF21" s="24">
        <f t="shared" si="17"/>
        <v>0</v>
      </c>
      <c r="AG21" s="23"/>
      <c r="AH21" s="21"/>
      <c r="AI21" s="21"/>
      <c r="AJ21" s="21"/>
      <c r="AK21" s="25">
        <f t="shared" si="18"/>
        <v>0</v>
      </c>
      <c r="AL21" s="23"/>
      <c r="AM21" s="21"/>
      <c r="AN21" s="21"/>
      <c r="AO21" s="21"/>
      <c r="AP21" s="25">
        <f t="shared" si="19"/>
        <v>0</v>
      </c>
      <c r="AQ21" s="23"/>
      <c r="AR21" s="21"/>
      <c r="AS21" s="21"/>
      <c r="AT21" s="21"/>
      <c r="AU21" s="25">
        <f t="shared" si="20"/>
        <v>0</v>
      </c>
      <c r="AV21" s="23"/>
      <c r="AW21" s="21"/>
      <c r="AX21" s="21"/>
      <c r="AY21" s="21"/>
      <c r="AZ21" s="25">
        <f t="shared" si="21"/>
        <v>0</v>
      </c>
      <c r="BA21" s="23"/>
      <c r="BB21" s="21"/>
      <c r="BC21" s="21"/>
      <c r="BD21" s="21"/>
      <c r="BE21" s="25">
        <f t="shared" si="22"/>
        <v>0</v>
      </c>
      <c r="BF21" s="23"/>
      <c r="BG21" s="21"/>
      <c r="BH21" s="21"/>
      <c r="BI21" s="21"/>
      <c r="BJ21" s="25">
        <f>SUM(BF21:BH21)</f>
        <v>0</v>
      </c>
      <c r="BK21" s="23">
        <v>100</v>
      </c>
      <c r="BL21" s="21">
        <v>800</v>
      </c>
      <c r="BM21" s="21">
        <v>7500</v>
      </c>
      <c r="BN21" s="21"/>
      <c r="BO21" s="25">
        <f>SUM(BK21:BM21)</f>
        <v>8400</v>
      </c>
      <c r="BP21" s="23">
        <v>3150</v>
      </c>
      <c r="BQ21" s="21">
        <v>950</v>
      </c>
      <c r="BR21" s="21">
        <v>10000</v>
      </c>
      <c r="BS21" s="21"/>
      <c r="BT21" s="25">
        <f t="shared" si="4"/>
        <v>14100</v>
      </c>
      <c r="BU21" s="21">
        <v>250</v>
      </c>
      <c r="BV21" s="26">
        <v>3750</v>
      </c>
      <c r="BW21" s="21">
        <v>1100</v>
      </c>
      <c r="BX21" s="21">
        <v>10000</v>
      </c>
      <c r="BY21" s="21"/>
      <c r="BZ21" s="27">
        <f t="shared" si="0"/>
        <v>14850</v>
      </c>
      <c r="CA21" s="21">
        <v>250</v>
      </c>
      <c r="CB21" s="21">
        <v>1500</v>
      </c>
      <c r="CC21" s="21">
        <v>10000</v>
      </c>
      <c r="CD21" s="21"/>
      <c r="CE21" s="27">
        <f t="shared" si="1"/>
        <v>11750</v>
      </c>
      <c r="CF21" s="21"/>
      <c r="CG21" s="21"/>
      <c r="CH21" s="21"/>
      <c r="CI21" s="21"/>
      <c r="CJ21" s="27">
        <f t="shared" si="2"/>
        <v>0</v>
      </c>
    </row>
    <row r="22" spans="2:88" x14ac:dyDescent="0.25">
      <c r="B22" t="s">
        <v>58</v>
      </c>
      <c r="C22" s="17">
        <v>990829000</v>
      </c>
      <c r="D22" t="s">
        <v>94</v>
      </c>
      <c r="E22" t="str">
        <f t="shared" si="3"/>
        <v>$800 Million - $2 Billion</v>
      </c>
      <c r="F22">
        <f>IF(C22="", "", COUNTIF($C$6:C22,"&gt;0"))</f>
        <v>17</v>
      </c>
      <c r="G22">
        <f>IF(E22&lt;&gt;'[1]By Asset Category'!$B$1,"",COUNTIF($E$6:E22,'[1]By Asset Category'!$B$1))</f>
        <v>5</v>
      </c>
      <c r="H22" t="s">
        <v>95</v>
      </c>
      <c r="I22" t="s">
        <v>91</v>
      </c>
      <c r="J22" t="s">
        <v>96</v>
      </c>
      <c r="K22" t="s">
        <v>97</v>
      </c>
      <c r="L22" s="18"/>
      <c r="M22" s="19">
        <v>1305</v>
      </c>
      <c r="N22" s="19">
        <v>600</v>
      </c>
      <c r="O22" s="19">
        <v>0</v>
      </c>
      <c r="P22" s="19">
        <v>0</v>
      </c>
      <c r="Q22" s="20">
        <f t="shared" si="14"/>
        <v>1905</v>
      </c>
      <c r="R22" s="19">
        <v>0</v>
      </c>
      <c r="S22" s="19">
        <v>0</v>
      </c>
      <c r="T22" s="19">
        <v>0</v>
      </c>
      <c r="U22" s="19">
        <v>0</v>
      </c>
      <c r="V22" s="20">
        <f t="shared" si="15"/>
        <v>0</v>
      </c>
      <c r="W22" s="21">
        <v>0</v>
      </c>
      <c r="X22" s="21">
        <v>0</v>
      </c>
      <c r="Y22" s="21">
        <v>0</v>
      </c>
      <c r="Z22" s="21">
        <v>0</v>
      </c>
      <c r="AA22" s="22">
        <f t="shared" si="16"/>
        <v>0</v>
      </c>
      <c r="AB22" s="23"/>
      <c r="AC22" s="21"/>
      <c r="AD22" s="21"/>
      <c r="AE22" s="21"/>
      <c r="AF22" s="24">
        <f t="shared" si="17"/>
        <v>0</v>
      </c>
      <c r="AG22" s="23">
        <v>865</v>
      </c>
      <c r="AH22" s="21">
        <v>1150</v>
      </c>
      <c r="AI22" s="21"/>
      <c r="AJ22" s="21"/>
      <c r="AK22" s="25">
        <f t="shared" si="18"/>
        <v>2015</v>
      </c>
      <c r="AL22" s="23">
        <v>960</v>
      </c>
      <c r="AM22" s="21">
        <v>960</v>
      </c>
      <c r="AN22" s="21"/>
      <c r="AO22" s="21"/>
      <c r="AP22" s="25">
        <f t="shared" si="19"/>
        <v>1920</v>
      </c>
      <c r="AQ22" s="23">
        <v>1400</v>
      </c>
      <c r="AR22" s="21">
        <v>150</v>
      </c>
      <c r="AS22" s="21"/>
      <c r="AT22" s="21"/>
      <c r="AU22" s="25">
        <f t="shared" si="20"/>
        <v>1550</v>
      </c>
      <c r="AV22" s="23"/>
      <c r="AW22" s="21"/>
      <c r="AX22" s="21"/>
      <c r="AY22" s="21"/>
      <c r="AZ22" s="25">
        <f t="shared" si="21"/>
        <v>0</v>
      </c>
      <c r="BA22" s="23"/>
      <c r="BB22" s="21"/>
      <c r="BC22" s="21"/>
      <c r="BD22" s="21"/>
      <c r="BE22" s="25">
        <f t="shared" si="22"/>
        <v>0</v>
      </c>
      <c r="BF22" s="23">
        <v>505</v>
      </c>
      <c r="BG22" s="21"/>
      <c r="BH22" s="21"/>
      <c r="BI22" s="21"/>
      <c r="BJ22" s="25">
        <f>SUM(BF22:BI22)</f>
        <v>505</v>
      </c>
      <c r="BK22" s="23"/>
      <c r="BL22" s="21"/>
      <c r="BM22" s="21"/>
      <c r="BN22" s="21"/>
      <c r="BO22" s="25">
        <f>SUM(BK22:BN22)</f>
        <v>0</v>
      </c>
      <c r="BP22" s="23">
        <v>1350</v>
      </c>
      <c r="BQ22" s="21"/>
      <c r="BR22" s="21"/>
      <c r="BS22" s="21"/>
      <c r="BT22" s="25">
        <f t="shared" si="4"/>
        <v>1350</v>
      </c>
      <c r="BU22" s="21">
        <v>2500</v>
      </c>
      <c r="BV22" s="26">
        <v>350</v>
      </c>
      <c r="BW22" s="21"/>
      <c r="BX22" s="21"/>
      <c r="BY22" s="21"/>
      <c r="BZ22" s="27">
        <f t="shared" si="0"/>
        <v>350</v>
      </c>
      <c r="CA22" s="26">
        <v>0</v>
      </c>
      <c r="CB22" s="21">
        <v>750</v>
      </c>
      <c r="CC22" s="21">
        <v>0</v>
      </c>
      <c r="CD22" s="21"/>
      <c r="CE22" s="27">
        <f t="shared" si="1"/>
        <v>750</v>
      </c>
      <c r="CF22" s="26">
        <v>0</v>
      </c>
      <c r="CG22" s="21"/>
      <c r="CH22" s="21">
        <v>0</v>
      </c>
      <c r="CI22" s="21"/>
      <c r="CJ22" s="27">
        <f t="shared" si="2"/>
        <v>0</v>
      </c>
    </row>
    <row r="23" spans="2:88" x14ac:dyDescent="0.25">
      <c r="B23" t="s">
        <v>41</v>
      </c>
      <c r="C23" s="17">
        <v>1291855000</v>
      </c>
      <c r="D23" t="s">
        <v>98</v>
      </c>
      <c r="E23" t="str">
        <f t="shared" si="3"/>
        <v>$800 Million - $2 Billion</v>
      </c>
      <c r="F23">
        <f>IF(C23="", "", COUNTIF($C$6:C23,"&gt;0"))</f>
        <v>18</v>
      </c>
      <c r="G23">
        <f>IF(E23&lt;&gt;'[1]By Asset Category'!$B$1,"",COUNTIF($E$6:E23,'[1]By Asset Category'!$B$1))</f>
        <v>6</v>
      </c>
      <c r="H23" t="s">
        <v>99</v>
      </c>
      <c r="I23" t="s">
        <v>100</v>
      </c>
      <c r="J23" t="s">
        <v>101</v>
      </c>
      <c r="K23" t="s">
        <v>102</v>
      </c>
      <c r="L23" s="18" t="s">
        <v>46</v>
      </c>
      <c r="M23" s="19">
        <v>3629</v>
      </c>
      <c r="N23" s="19">
        <v>1050</v>
      </c>
      <c r="O23" s="19">
        <v>3000</v>
      </c>
      <c r="P23" s="19"/>
      <c r="Q23" s="20">
        <f t="shared" si="14"/>
        <v>7679</v>
      </c>
      <c r="R23" s="19">
        <v>4158</v>
      </c>
      <c r="S23" s="19">
        <v>900</v>
      </c>
      <c r="T23" s="19">
        <v>3000</v>
      </c>
      <c r="U23" s="19"/>
      <c r="V23" s="20">
        <f t="shared" si="15"/>
        <v>8058</v>
      </c>
      <c r="W23" s="21">
        <v>5056</v>
      </c>
      <c r="X23" s="21">
        <v>1050</v>
      </c>
      <c r="Y23" s="21">
        <v>5000</v>
      </c>
      <c r="Z23" s="21"/>
      <c r="AA23" s="22">
        <f t="shared" si="16"/>
        <v>11106</v>
      </c>
      <c r="AB23" s="23">
        <v>5423.3099999999995</v>
      </c>
      <c r="AC23" s="21">
        <v>1300</v>
      </c>
      <c r="AD23" s="21">
        <v>5000</v>
      </c>
      <c r="AE23" s="21"/>
      <c r="AF23" s="24">
        <f t="shared" si="17"/>
        <v>11723.31</v>
      </c>
      <c r="AG23" s="23">
        <v>6217</v>
      </c>
      <c r="AH23" s="21">
        <v>1100</v>
      </c>
      <c r="AI23" s="21">
        <v>5000</v>
      </c>
      <c r="AJ23" s="21"/>
      <c r="AK23" s="25">
        <f t="shared" si="18"/>
        <v>12317</v>
      </c>
      <c r="AL23" s="23">
        <v>8544</v>
      </c>
      <c r="AM23" s="21">
        <v>1650</v>
      </c>
      <c r="AN23" s="21">
        <v>5000</v>
      </c>
      <c r="AO23" s="21"/>
      <c r="AP23" s="25">
        <f t="shared" si="19"/>
        <v>15194</v>
      </c>
      <c r="AQ23" s="23">
        <v>12907</v>
      </c>
      <c r="AR23" s="21">
        <v>700</v>
      </c>
      <c r="AS23" s="21">
        <v>5000</v>
      </c>
      <c r="AT23" s="21"/>
      <c r="AU23" s="25">
        <f t="shared" si="20"/>
        <v>18607</v>
      </c>
      <c r="AV23" s="23">
        <v>9158</v>
      </c>
      <c r="AW23" s="21">
        <v>600</v>
      </c>
      <c r="AX23" s="21">
        <v>5000</v>
      </c>
      <c r="AY23" s="21"/>
      <c r="AZ23" s="25">
        <f t="shared" si="21"/>
        <v>14758</v>
      </c>
      <c r="BA23" s="23">
        <v>8390</v>
      </c>
      <c r="BB23" s="21">
        <v>800</v>
      </c>
      <c r="BC23" s="21">
        <v>5000</v>
      </c>
      <c r="BD23" s="21"/>
      <c r="BE23" s="25">
        <f t="shared" si="22"/>
        <v>14190</v>
      </c>
      <c r="BF23" s="23">
        <v>7970</v>
      </c>
      <c r="BG23" s="21">
        <v>3200</v>
      </c>
      <c r="BH23" s="21">
        <v>5000</v>
      </c>
      <c r="BI23" s="21"/>
      <c r="BJ23" s="25">
        <f>SUM(BF23:BI23)</f>
        <v>16170</v>
      </c>
      <c r="BK23" s="23">
        <v>11449</v>
      </c>
      <c r="BL23" s="21">
        <v>1450</v>
      </c>
      <c r="BM23" s="21">
        <v>5000</v>
      </c>
      <c r="BN23" s="21"/>
      <c r="BO23" s="25">
        <f>SUM(BK23:BN23)</f>
        <v>17899</v>
      </c>
      <c r="BP23" s="23">
        <v>12238.5</v>
      </c>
      <c r="BQ23" s="21">
        <v>1600</v>
      </c>
      <c r="BR23" s="21">
        <v>5000</v>
      </c>
      <c r="BS23" s="21"/>
      <c r="BT23" s="25">
        <f t="shared" si="4"/>
        <v>18838.5</v>
      </c>
      <c r="BU23" s="21"/>
      <c r="BV23" s="26">
        <v>13708.19</v>
      </c>
      <c r="BW23" s="21">
        <v>1950</v>
      </c>
      <c r="BX23" s="21">
        <v>5000</v>
      </c>
      <c r="BY23" s="21"/>
      <c r="BZ23" s="27">
        <f t="shared" si="0"/>
        <v>20658.190000000002</v>
      </c>
      <c r="CA23" s="26">
        <v>1210.18</v>
      </c>
      <c r="CB23" s="21">
        <v>250</v>
      </c>
      <c r="CC23" s="21"/>
      <c r="CD23" s="21"/>
      <c r="CE23" s="27">
        <f t="shared" si="1"/>
        <v>1460.18</v>
      </c>
      <c r="CF23" s="26">
        <v>3935</v>
      </c>
      <c r="CG23" s="21">
        <v>1050</v>
      </c>
      <c r="CH23" s="21"/>
      <c r="CI23" s="21"/>
      <c r="CJ23" s="27">
        <f t="shared" si="2"/>
        <v>4985</v>
      </c>
    </row>
    <row r="24" spans="2:88" x14ac:dyDescent="0.25">
      <c r="B24" t="s">
        <v>35</v>
      </c>
      <c r="C24" s="17">
        <v>533033000</v>
      </c>
      <c r="D24" t="s">
        <v>103</v>
      </c>
      <c r="E24" t="str">
        <f t="shared" si="3"/>
        <v>$350 Million - $800 Million</v>
      </c>
      <c r="F24">
        <f>IF(C24="", "", COUNTIF($C$6:C24,"&gt;0"))</f>
        <v>19</v>
      </c>
      <c r="G24" t="str">
        <f>IF(E24&lt;&gt;'[1]By Asset Category'!$B$1,"",COUNTIF($E$6:E24,'[1]By Asset Category'!$B$1))</f>
        <v/>
      </c>
      <c r="H24" t="s">
        <v>104</v>
      </c>
      <c r="I24" t="s">
        <v>38</v>
      </c>
      <c r="J24" t="s">
        <v>105</v>
      </c>
      <c r="K24" t="s">
        <v>106</v>
      </c>
      <c r="L24" s="18" t="s">
        <v>3</v>
      </c>
      <c r="M24" s="19">
        <v>0</v>
      </c>
      <c r="N24" s="19">
        <v>0</v>
      </c>
      <c r="O24" s="19">
        <v>0</v>
      </c>
      <c r="P24" s="19"/>
      <c r="Q24" s="20">
        <f t="shared" si="14"/>
        <v>0</v>
      </c>
      <c r="R24" s="19">
        <v>0</v>
      </c>
      <c r="S24" s="19">
        <v>200</v>
      </c>
      <c r="T24" s="19">
        <v>2000</v>
      </c>
      <c r="U24" s="19"/>
      <c r="V24" s="20">
        <f t="shared" si="15"/>
        <v>2200</v>
      </c>
      <c r="W24" s="21">
        <v>0</v>
      </c>
      <c r="X24" s="21">
        <v>100</v>
      </c>
      <c r="Y24" s="21">
        <v>2000</v>
      </c>
      <c r="Z24" s="21"/>
      <c r="AA24" s="22">
        <f t="shared" si="16"/>
        <v>2100</v>
      </c>
      <c r="AB24" s="23"/>
      <c r="AC24" s="21">
        <v>150</v>
      </c>
      <c r="AD24" s="21">
        <v>2000</v>
      </c>
      <c r="AE24" s="21"/>
      <c r="AF24" s="24">
        <f t="shared" si="17"/>
        <v>2150</v>
      </c>
      <c r="AG24" s="23"/>
      <c r="AH24" s="21">
        <v>100</v>
      </c>
      <c r="AI24" s="21">
        <v>2000</v>
      </c>
      <c r="AJ24" s="21"/>
      <c r="AK24" s="25">
        <f t="shared" si="18"/>
        <v>2100</v>
      </c>
      <c r="AL24" s="23"/>
      <c r="AM24" s="21">
        <v>200</v>
      </c>
      <c r="AN24" s="21">
        <v>2500</v>
      </c>
      <c r="AO24" s="21"/>
      <c r="AP24" s="25">
        <f t="shared" si="19"/>
        <v>2700</v>
      </c>
      <c r="AQ24" s="23"/>
      <c r="AR24" s="21">
        <v>250</v>
      </c>
      <c r="AS24" s="21">
        <v>2500</v>
      </c>
      <c r="AT24" s="21"/>
      <c r="AU24" s="25">
        <f t="shared" si="20"/>
        <v>2750</v>
      </c>
      <c r="AV24" s="23"/>
      <c r="AW24" s="21"/>
      <c r="AX24" s="21">
        <v>2000</v>
      </c>
      <c r="AY24" s="21"/>
      <c r="AZ24" s="25">
        <f t="shared" si="21"/>
        <v>2000</v>
      </c>
      <c r="BA24" s="23"/>
      <c r="BB24" s="21"/>
      <c r="BC24" s="21">
        <v>2000</v>
      </c>
      <c r="BD24" s="21"/>
      <c r="BE24" s="25">
        <f t="shared" si="22"/>
        <v>2000</v>
      </c>
      <c r="BF24" s="23">
        <v>350</v>
      </c>
      <c r="BG24" s="21">
        <v>280</v>
      </c>
      <c r="BH24" s="21">
        <v>2500</v>
      </c>
      <c r="BI24" s="21"/>
      <c r="BJ24" s="25">
        <f>SUM(BF24:BH24)</f>
        <v>3130</v>
      </c>
      <c r="BK24" s="23"/>
      <c r="BL24" s="21"/>
      <c r="BM24" s="21">
        <v>3000</v>
      </c>
      <c r="BN24" s="21"/>
      <c r="BO24" s="25">
        <f>SUM(BK24:BM24)</f>
        <v>3000</v>
      </c>
      <c r="BP24" s="23"/>
      <c r="BQ24" s="21"/>
      <c r="BR24" s="21">
        <v>3000</v>
      </c>
      <c r="BS24" s="21"/>
      <c r="BT24" s="25">
        <f t="shared" si="4"/>
        <v>3000</v>
      </c>
      <c r="BU24" s="21">
        <v>479.09</v>
      </c>
      <c r="BV24" s="26"/>
      <c r="BW24" s="21"/>
      <c r="BX24" s="21">
        <v>3000</v>
      </c>
      <c r="BY24" s="21"/>
      <c r="BZ24" s="27">
        <f t="shared" si="0"/>
        <v>3000</v>
      </c>
      <c r="CA24" s="26"/>
      <c r="CB24" s="21"/>
      <c r="CC24" s="21">
        <v>3000</v>
      </c>
      <c r="CD24" s="21"/>
      <c r="CE24" s="27">
        <f t="shared" si="1"/>
        <v>3000</v>
      </c>
      <c r="CF24" s="26"/>
      <c r="CG24" s="21"/>
      <c r="CH24" s="21">
        <v>3000</v>
      </c>
      <c r="CI24" s="21"/>
      <c r="CJ24" s="27">
        <f t="shared" si="2"/>
        <v>3000</v>
      </c>
    </row>
    <row r="25" spans="2:88" x14ac:dyDescent="0.25">
      <c r="B25" t="s">
        <v>58</v>
      </c>
      <c r="C25" s="17">
        <v>5840704000</v>
      </c>
      <c r="D25" t="s">
        <v>107</v>
      </c>
      <c r="E25" t="str">
        <f t="shared" si="3"/>
        <v>$2 Billion - $10 Billion</v>
      </c>
      <c r="F25">
        <f>IF(C25="", "", COUNTIF($C$6:C25,"&gt;0"))</f>
        <v>20</v>
      </c>
      <c r="G25" t="str">
        <f>IF(E25&lt;&gt;'[1]By Asset Category'!$B$1,"",COUNTIF($E$6:E25,'[1]By Asset Category'!$B$1))</f>
        <v/>
      </c>
      <c r="H25" t="s">
        <v>108</v>
      </c>
      <c r="I25" t="s">
        <v>38</v>
      </c>
      <c r="J25" t="s">
        <v>109</v>
      </c>
      <c r="K25" t="s">
        <v>110</v>
      </c>
      <c r="L25" s="18" t="s">
        <v>3</v>
      </c>
      <c r="M25" s="19">
        <v>260</v>
      </c>
      <c r="N25" s="19">
        <v>150</v>
      </c>
      <c r="O25" s="19">
        <v>0</v>
      </c>
      <c r="P25" s="19"/>
      <c r="Q25" s="20">
        <f t="shared" si="14"/>
        <v>410</v>
      </c>
      <c r="R25" s="19">
        <v>50</v>
      </c>
      <c r="S25" s="19">
        <v>0</v>
      </c>
      <c r="T25" s="19">
        <v>0</v>
      </c>
      <c r="U25" s="19"/>
      <c r="V25" s="20">
        <f t="shared" si="15"/>
        <v>50</v>
      </c>
      <c r="W25" s="21">
        <v>0</v>
      </c>
      <c r="X25" s="21">
        <v>0</v>
      </c>
      <c r="Y25" s="21">
        <v>0</v>
      </c>
      <c r="Z25" s="21"/>
      <c r="AA25" s="22">
        <f t="shared" si="16"/>
        <v>0</v>
      </c>
      <c r="AB25" s="23">
        <v>75</v>
      </c>
      <c r="AC25" s="21"/>
      <c r="AD25" s="21"/>
      <c r="AE25" s="21"/>
      <c r="AF25" s="24">
        <f t="shared" si="17"/>
        <v>75</v>
      </c>
      <c r="AG25" s="23"/>
      <c r="AH25" s="21"/>
      <c r="AI25" s="21"/>
      <c r="AJ25" s="21"/>
      <c r="AK25" s="25">
        <f t="shared" si="18"/>
        <v>0</v>
      </c>
      <c r="AL25" s="23"/>
      <c r="AM25" s="21"/>
      <c r="AN25" s="21"/>
      <c r="AO25" s="21"/>
      <c r="AP25" s="25">
        <f t="shared" si="19"/>
        <v>0</v>
      </c>
      <c r="AQ25" s="23">
        <v>900</v>
      </c>
      <c r="AR25" s="21">
        <v>250</v>
      </c>
      <c r="AS25" s="21"/>
      <c r="AT25" s="21"/>
      <c r="AU25" s="25">
        <f t="shared" si="20"/>
        <v>1150</v>
      </c>
      <c r="AV25" s="23">
        <v>400</v>
      </c>
      <c r="AW25" s="21"/>
      <c r="AX25" s="21"/>
      <c r="AY25" s="21"/>
      <c r="AZ25" s="25">
        <f t="shared" si="21"/>
        <v>400</v>
      </c>
      <c r="BA25" s="23">
        <v>250</v>
      </c>
      <c r="BB25" s="21"/>
      <c r="BC25" s="21"/>
      <c r="BD25" s="21"/>
      <c r="BE25" s="25">
        <f t="shared" si="22"/>
        <v>250</v>
      </c>
      <c r="BF25" s="23">
        <v>893</v>
      </c>
      <c r="BG25" s="21">
        <v>200</v>
      </c>
      <c r="BH25" s="21"/>
      <c r="BI25" s="21"/>
      <c r="BJ25" s="25">
        <f>SUM(BF25:BI25)</f>
        <v>1093</v>
      </c>
      <c r="BK25" s="23">
        <v>881</v>
      </c>
      <c r="BL25" s="21">
        <v>200</v>
      </c>
      <c r="BM25" s="21"/>
      <c r="BN25" s="21"/>
      <c r="BO25" s="25">
        <f>SUM(BK25:BN25)</f>
        <v>1081</v>
      </c>
      <c r="BP25" s="23">
        <v>1277.43</v>
      </c>
      <c r="BQ25" s="21">
        <v>200</v>
      </c>
      <c r="BR25" s="21"/>
      <c r="BS25" s="21"/>
      <c r="BT25" s="25">
        <f t="shared" si="4"/>
        <v>1477.43</v>
      </c>
      <c r="BU25" s="21">
        <v>165</v>
      </c>
      <c r="BV25" s="26">
        <v>1312.35</v>
      </c>
      <c r="BW25" s="21">
        <v>200</v>
      </c>
      <c r="BX25" s="21"/>
      <c r="BY25" s="21"/>
      <c r="BZ25" s="27">
        <f t="shared" si="0"/>
        <v>1512.35</v>
      </c>
      <c r="CA25" s="26">
        <v>1407.32</v>
      </c>
      <c r="CB25" s="21">
        <v>250</v>
      </c>
      <c r="CC25" s="21"/>
      <c r="CD25" s="21"/>
      <c r="CE25" s="27">
        <f t="shared" si="1"/>
        <v>1657.32</v>
      </c>
      <c r="CF25" s="26">
        <v>682.76</v>
      </c>
      <c r="CG25" s="21">
        <v>250</v>
      </c>
      <c r="CH25" s="21"/>
      <c r="CI25" s="21"/>
      <c r="CJ25" s="27">
        <f t="shared" si="2"/>
        <v>932.76</v>
      </c>
    </row>
    <row r="26" spans="2:88" x14ac:dyDescent="0.25">
      <c r="B26" t="s">
        <v>58</v>
      </c>
      <c r="C26" s="17">
        <v>2192933000</v>
      </c>
      <c r="D26" t="s">
        <v>111</v>
      </c>
      <c r="E26" t="str">
        <f t="shared" si="3"/>
        <v>$2 Billion - $10 Billion</v>
      </c>
      <c r="F26">
        <f>IF(C26="", "", COUNTIF($C$6:C26,"&gt;0"))</f>
        <v>21</v>
      </c>
      <c r="G26" t="str">
        <f>IF(E26&lt;&gt;'[1]By Asset Category'!$B$1,"",COUNTIF($E$6:E26,'[1]By Asset Category'!$B$1))</f>
        <v/>
      </c>
      <c r="H26" t="s">
        <v>112</v>
      </c>
      <c r="I26" t="s">
        <v>38</v>
      </c>
      <c r="J26" t="s">
        <v>113</v>
      </c>
      <c r="K26" t="s">
        <v>114</v>
      </c>
      <c r="L26" s="18"/>
      <c r="M26" s="19"/>
      <c r="N26" s="19"/>
      <c r="O26" s="19"/>
      <c r="P26" s="19"/>
      <c r="Q26" s="20"/>
      <c r="R26" s="19"/>
      <c r="S26" s="19"/>
      <c r="T26" s="19"/>
      <c r="U26" s="19"/>
      <c r="V26" s="20"/>
      <c r="W26" s="21"/>
      <c r="X26" s="21"/>
      <c r="Y26" s="21"/>
      <c r="Z26" s="21"/>
      <c r="AA26" s="22"/>
      <c r="AB26" s="23"/>
      <c r="AC26" s="21"/>
      <c r="AD26" s="21"/>
      <c r="AE26" s="21"/>
      <c r="AF26" s="24"/>
      <c r="AG26" s="23"/>
      <c r="AH26" s="21"/>
      <c r="AI26" s="21"/>
      <c r="AJ26" s="21"/>
      <c r="AK26" s="25"/>
      <c r="AL26" s="23"/>
      <c r="AM26" s="21"/>
      <c r="AN26" s="21"/>
      <c r="AO26" s="21"/>
      <c r="AP26" s="25"/>
      <c r="AQ26" s="23">
        <v>80</v>
      </c>
      <c r="AR26" s="21"/>
      <c r="AS26" s="21"/>
      <c r="AT26" s="21"/>
      <c r="AU26" s="25">
        <f t="shared" si="20"/>
        <v>80</v>
      </c>
      <c r="AV26" s="23"/>
      <c r="AW26" s="21"/>
      <c r="AX26" s="21"/>
      <c r="AY26" s="21"/>
      <c r="AZ26" s="25">
        <f t="shared" si="21"/>
        <v>0</v>
      </c>
      <c r="BA26" s="23">
        <v>920</v>
      </c>
      <c r="BB26" s="21"/>
      <c r="BC26" s="21"/>
      <c r="BD26" s="21"/>
      <c r="BE26" s="25">
        <f t="shared" si="22"/>
        <v>920</v>
      </c>
      <c r="BF26" s="23">
        <v>1300</v>
      </c>
      <c r="BG26" s="21"/>
      <c r="BH26" s="21"/>
      <c r="BI26" s="21"/>
      <c r="BJ26" s="25">
        <f>SUM(BF26:BI26)</f>
        <v>1300</v>
      </c>
      <c r="BK26" s="23"/>
      <c r="BL26" s="21"/>
      <c r="BM26" s="21"/>
      <c r="BN26" s="21"/>
      <c r="BO26" s="25">
        <f>SUM(BK26:BN26)</f>
        <v>0</v>
      </c>
      <c r="BP26" s="23">
        <v>975</v>
      </c>
      <c r="BQ26" s="21">
        <v>250</v>
      </c>
      <c r="BR26" s="21"/>
      <c r="BS26" s="21"/>
      <c r="BT26" s="25">
        <f t="shared" si="4"/>
        <v>1225</v>
      </c>
      <c r="BU26" s="21"/>
      <c r="BV26" s="26">
        <v>485</v>
      </c>
      <c r="BW26" s="29" t="s">
        <v>3</v>
      </c>
      <c r="BX26" s="21"/>
      <c r="BY26" s="21"/>
      <c r="BZ26" s="27">
        <f t="shared" si="0"/>
        <v>485</v>
      </c>
      <c r="CA26" s="26">
        <v>1400</v>
      </c>
      <c r="CB26" s="29">
        <v>900</v>
      </c>
      <c r="CC26" s="21">
        <v>0</v>
      </c>
      <c r="CD26" s="21"/>
      <c r="CE26" s="27">
        <f t="shared" si="1"/>
        <v>2300</v>
      </c>
      <c r="CF26" s="26">
        <v>200</v>
      </c>
      <c r="CG26" s="29"/>
      <c r="CH26" s="21">
        <v>0</v>
      </c>
      <c r="CI26" s="21"/>
      <c r="CJ26" s="27">
        <f t="shared" si="2"/>
        <v>200</v>
      </c>
    </row>
    <row r="27" spans="2:88" x14ac:dyDescent="0.25">
      <c r="B27" t="s">
        <v>41</v>
      </c>
      <c r="C27" s="17">
        <v>154243000</v>
      </c>
      <c r="D27" t="s">
        <v>115</v>
      </c>
      <c r="E27" t="str">
        <f t="shared" si="3"/>
        <v>Less than $350 Million</v>
      </c>
      <c r="F27">
        <f>IF(C27="", "", COUNTIF($C$6:C27,"&gt;0"))</f>
        <v>22</v>
      </c>
      <c r="G27" t="str">
        <f>IF(E27&lt;&gt;'[1]By Asset Category'!$B$1,"",COUNTIF($E$6:E27,'[1]By Asset Category'!$B$1))</f>
        <v/>
      </c>
      <c r="H27" t="s">
        <v>116</v>
      </c>
      <c r="I27" t="s">
        <v>3</v>
      </c>
      <c r="J27" t="s">
        <v>3</v>
      </c>
      <c r="K27" t="s">
        <v>3</v>
      </c>
      <c r="L27" s="18" t="s">
        <v>3</v>
      </c>
      <c r="M27" s="19">
        <v>0</v>
      </c>
      <c r="N27" s="19">
        <v>0</v>
      </c>
      <c r="O27" s="19">
        <v>0</v>
      </c>
      <c r="P27" s="19"/>
      <c r="Q27" s="20">
        <f>SUM(M27:P27)</f>
        <v>0</v>
      </c>
      <c r="R27" s="19">
        <v>220</v>
      </c>
      <c r="S27" s="19">
        <v>0</v>
      </c>
      <c r="T27" s="19">
        <v>0</v>
      </c>
      <c r="U27" s="19"/>
      <c r="V27" s="20">
        <f>SUM(R27:U27)</f>
        <v>220</v>
      </c>
      <c r="W27" s="21">
        <v>125</v>
      </c>
      <c r="X27" s="21">
        <v>0</v>
      </c>
      <c r="Y27" s="21">
        <v>0</v>
      </c>
      <c r="Z27" s="21"/>
      <c r="AA27" s="22">
        <f>SUM(W27:Z27)</f>
        <v>125</v>
      </c>
      <c r="AB27" s="23">
        <v>200</v>
      </c>
      <c r="AC27" s="21"/>
      <c r="AD27" s="21"/>
      <c r="AE27" s="21"/>
      <c r="AF27" s="24">
        <f>SUM(AB27:AE27)</f>
        <v>200</v>
      </c>
      <c r="AG27" s="23">
        <v>548</v>
      </c>
      <c r="AH27" s="21"/>
      <c r="AI27" s="21"/>
      <c r="AJ27" s="21"/>
      <c r="AK27" s="25">
        <f>SUM(AG27:AJ27)</f>
        <v>548</v>
      </c>
      <c r="AL27" s="23">
        <v>900</v>
      </c>
      <c r="AM27" s="21"/>
      <c r="AN27" s="21"/>
      <c r="AO27" s="21"/>
      <c r="AP27" s="25">
        <f>SUM(AL27:AO27)</f>
        <v>900</v>
      </c>
      <c r="AQ27" s="23">
        <v>740</v>
      </c>
      <c r="AR27" s="21"/>
      <c r="AS27" s="21">
        <v>500</v>
      </c>
      <c r="AT27" s="21"/>
      <c r="AU27" s="25">
        <f t="shared" si="20"/>
        <v>1240</v>
      </c>
      <c r="AV27" s="23">
        <v>400</v>
      </c>
      <c r="AW27" s="21"/>
      <c r="AX27" s="21">
        <v>500</v>
      </c>
      <c r="AY27" s="21"/>
      <c r="AZ27" s="25">
        <f t="shared" si="21"/>
        <v>900</v>
      </c>
      <c r="BA27" s="23">
        <v>350</v>
      </c>
      <c r="BB27" s="21"/>
      <c r="BC27" s="21">
        <v>750</v>
      </c>
      <c r="BD27" s="21"/>
      <c r="BE27" s="25">
        <f t="shared" si="22"/>
        <v>1100</v>
      </c>
      <c r="BF27" s="23">
        <v>250</v>
      </c>
      <c r="BG27" s="21"/>
      <c r="BH27" s="21">
        <v>750</v>
      </c>
      <c r="BI27" s="21"/>
      <c r="BJ27" s="25">
        <f>SUM(BF27:BI27)</f>
        <v>1000</v>
      </c>
      <c r="BK27" s="23"/>
      <c r="BL27" s="21"/>
      <c r="BM27" s="21">
        <v>1000</v>
      </c>
      <c r="BN27" s="21"/>
      <c r="BO27" s="25">
        <f>SUM(BK27:BN27)</f>
        <v>1000</v>
      </c>
      <c r="BP27" s="23"/>
      <c r="BQ27" s="21"/>
      <c r="BR27" s="21"/>
      <c r="BS27" s="21"/>
      <c r="BT27" s="25">
        <f t="shared" si="4"/>
        <v>0</v>
      </c>
      <c r="BU27" s="21"/>
      <c r="BV27" s="26">
        <v>870</v>
      </c>
      <c r="BW27" s="21">
        <v>2000</v>
      </c>
      <c r="BX27" s="21">
        <v>1500</v>
      </c>
      <c r="BY27" s="29" t="s">
        <v>3</v>
      </c>
      <c r="BZ27" s="27">
        <f t="shared" si="0"/>
        <v>4370</v>
      </c>
      <c r="CA27" s="26">
        <v>250</v>
      </c>
      <c r="CB27" s="21">
        <v>500</v>
      </c>
      <c r="CC27" s="21"/>
      <c r="CD27" s="29"/>
      <c r="CE27" s="27">
        <f t="shared" si="1"/>
        <v>750</v>
      </c>
      <c r="CF27" s="26">
        <v>100</v>
      </c>
      <c r="CG27" s="21"/>
      <c r="CH27" s="21">
        <v>1500</v>
      </c>
      <c r="CI27" s="29"/>
      <c r="CJ27" s="27">
        <f t="shared" si="2"/>
        <v>1600</v>
      </c>
    </row>
    <row r="28" spans="2:88" x14ac:dyDescent="0.25">
      <c r="B28" t="s">
        <v>58</v>
      </c>
      <c r="C28" s="17">
        <v>2464967000</v>
      </c>
      <c r="D28" t="s">
        <v>117</v>
      </c>
      <c r="E28" t="str">
        <f t="shared" si="3"/>
        <v>$2 Billion - $10 Billion</v>
      </c>
      <c r="F28">
        <f>IF(C28="", "", COUNTIF($C$6:C28,"&gt;0"))</f>
        <v>23</v>
      </c>
      <c r="G28" t="str">
        <f>IF(E28&lt;&gt;'[1]By Asset Category'!$B$1,"",COUNTIF($E$6:E28,'[1]By Asset Category'!$B$1))</f>
        <v/>
      </c>
      <c r="H28" t="s">
        <v>118</v>
      </c>
      <c r="I28" t="s">
        <v>3</v>
      </c>
      <c r="J28" t="s">
        <v>3</v>
      </c>
      <c r="K28" t="s">
        <v>3</v>
      </c>
      <c r="L28" s="18"/>
      <c r="M28" s="19">
        <v>0</v>
      </c>
      <c r="N28" s="19">
        <v>0</v>
      </c>
      <c r="O28" s="19">
        <v>0</v>
      </c>
      <c r="P28" s="19">
        <v>0</v>
      </c>
      <c r="Q28" s="20">
        <f>SUM(M28:P28)</f>
        <v>0</v>
      </c>
      <c r="R28" s="19">
        <v>0</v>
      </c>
      <c r="S28" s="19">
        <v>0</v>
      </c>
      <c r="T28" s="19">
        <v>0</v>
      </c>
      <c r="U28" s="19">
        <v>0</v>
      </c>
      <c r="V28" s="20">
        <f>SUM(R28:U28)</f>
        <v>0</v>
      </c>
      <c r="W28" s="21">
        <v>0</v>
      </c>
      <c r="X28" s="21">
        <v>0</v>
      </c>
      <c r="Y28" s="21">
        <v>0</v>
      </c>
      <c r="Z28" s="21">
        <v>0</v>
      </c>
      <c r="AA28" s="22">
        <f>SUM(W28:Z28)</f>
        <v>0</v>
      </c>
      <c r="AB28" s="23"/>
      <c r="AC28" s="21"/>
      <c r="AD28" s="21"/>
      <c r="AE28" s="21"/>
      <c r="AF28" s="24">
        <f>SUM(AB28:AE28)</f>
        <v>0</v>
      </c>
      <c r="AG28" s="23"/>
      <c r="AH28" s="21"/>
      <c r="AI28" s="21"/>
      <c r="AJ28" s="21"/>
      <c r="AK28" s="25">
        <f>SUM(AG28:AJ28)</f>
        <v>0</v>
      </c>
      <c r="AL28" s="23"/>
      <c r="AM28" s="21"/>
      <c r="AN28" s="21"/>
      <c r="AO28" s="21"/>
      <c r="AP28" s="25">
        <f>SUM(AL28:AO28)</f>
        <v>0</v>
      </c>
      <c r="AQ28" s="23"/>
      <c r="AR28" s="21"/>
      <c r="AS28" s="21"/>
      <c r="AT28" s="21"/>
      <c r="AU28" s="25">
        <f t="shared" si="20"/>
        <v>0</v>
      </c>
      <c r="AV28" s="23"/>
      <c r="AW28" s="21"/>
      <c r="AX28" s="21"/>
      <c r="AY28" s="21"/>
      <c r="AZ28" s="25">
        <f t="shared" si="21"/>
        <v>0</v>
      </c>
      <c r="BA28" s="23"/>
      <c r="BB28" s="21"/>
      <c r="BC28" s="21"/>
      <c r="BD28" s="21"/>
      <c r="BE28" s="25">
        <f t="shared" si="22"/>
        <v>0</v>
      </c>
      <c r="BF28" s="23"/>
      <c r="BG28" s="21"/>
      <c r="BH28" s="21"/>
      <c r="BI28" s="21"/>
      <c r="BJ28" s="25">
        <f>SUM(BF28:BI28)</f>
        <v>0</v>
      </c>
      <c r="BK28" s="23"/>
      <c r="BL28" s="21"/>
      <c r="BM28" s="21"/>
      <c r="BN28" s="21"/>
      <c r="BO28" s="25">
        <f>SUM(BK28:BN28)</f>
        <v>0</v>
      </c>
      <c r="BP28" s="23"/>
      <c r="BQ28" s="21"/>
      <c r="BR28" s="21"/>
      <c r="BS28" s="21"/>
      <c r="BT28" s="25">
        <f t="shared" si="4"/>
        <v>0</v>
      </c>
      <c r="BU28" s="21"/>
      <c r="BV28" s="26"/>
      <c r="BW28" s="21"/>
      <c r="BX28" s="21"/>
      <c r="BY28" s="21"/>
      <c r="BZ28" s="27">
        <f t="shared" si="0"/>
        <v>0</v>
      </c>
      <c r="CA28" s="26"/>
      <c r="CB28" s="21"/>
      <c r="CC28" s="21"/>
      <c r="CD28" s="21"/>
      <c r="CE28" s="27">
        <f t="shared" si="1"/>
        <v>0</v>
      </c>
      <c r="CF28" s="26"/>
      <c r="CG28" s="21"/>
      <c r="CH28" s="21"/>
      <c r="CI28" s="21"/>
      <c r="CJ28" s="27">
        <f t="shared" si="2"/>
        <v>0</v>
      </c>
    </row>
    <row r="29" spans="2:88" x14ac:dyDescent="0.25">
      <c r="B29" t="s">
        <v>35</v>
      </c>
      <c r="C29" s="17">
        <v>183379000</v>
      </c>
      <c r="D29" t="s">
        <v>119</v>
      </c>
      <c r="E29" t="str">
        <f t="shared" si="3"/>
        <v>Less than $350 Million</v>
      </c>
      <c r="F29">
        <f>IF(C29="", "", COUNTIF($C$6:C29,"&gt;0"))</f>
        <v>24</v>
      </c>
      <c r="G29" t="str">
        <f>IF(E29&lt;&gt;'[1]By Asset Category'!$B$1,"",COUNTIF($E$6:E29,'[1]By Asset Category'!$B$1))</f>
        <v/>
      </c>
      <c r="H29" t="s">
        <v>120</v>
      </c>
      <c r="I29" t="s">
        <v>121</v>
      </c>
      <c r="J29" t="s">
        <v>122</v>
      </c>
      <c r="K29" t="s">
        <v>123</v>
      </c>
      <c r="L29" s="18"/>
      <c r="M29" s="19">
        <v>0</v>
      </c>
      <c r="N29" s="19">
        <v>0</v>
      </c>
      <c r="O29" s="19">
        <v>0</v>
      </c>
      <c r="P29" s="19">
        <v>0</v>
      </c>
      <c r="Q29" s="20">
        <f>SUM(M29:P29)</f>
        <v>0</v>
      </c>
      <c r="R29" s="19">
        <v>0</v>
      </c>
      <c r="S29" s="19">
        <v>0</v>
      </c>
      <c r="T29" s="19">
        <v>0</v>
      </c>
      <c r="U29" s="19">
        <v>0</v>
      </c>
      <c r="V29" s="20">
        <f>SUM(R29:U29)</f>
        <v>0</v>
      </c>
      <c r="W29" s="21">
        <v>150</v>
      </c>
      <c r="X29" s="21">
        <v>0</v>
      </c>
      <c r="Y29" s="21">
        <v>0</v>
      </c>
      <c r="Z29" s="21">
        <v>0</v>
      </c>
      <c r="AA29" s="22">
        <f>SUM(W29:Z29)</f>
        <v>150</v>
      </c>
      <c r="AB29" s="23">
        <v>125</v>
      </c>
      <c r="AC29" s="21"/>
      <c r="AD29" s="21"/>
      <c r="AE29" s="21"/>
      <c r="AF29" s="24">
        <f>SUM(AB29:AE29)</f>
        <v>125</v>
      </c>
      <c r="AG29" s="23">
        <v>330</v>
      </c>
      <c r="AH29" s="21">
        <v>100</v>
      </c>
      <c r="AI29" s="21"/>
      <c r="AJ29" s="21"/>
      <c r="AK29" s="25">
        <f>SUM(AG29:AJ29)</f>
        <v>430</v>
      </c>
      <c r="AL29" s="23">
        <v>475</v>
      </c>
      <c r="AM29" s="21"/>
      <c r="AN29" s="21"/>
      <c r="AO29" s="21"/>
      <c r="AP29" s="25">
        <f>SUM(AL29:AO29)</f>
        <v>475</v>
      </c>
      <c r="AQ29" s="23"/>
      <c r="AR29" s="21"/>
      <c r="AS29" s="21"/>
      <c r="AT29" s="21"/>
      <c r="AU29" s="25">
        <f t="shared" si="20"/>
        <v>0</v>
      </c>
      <c r="AV29" s="23"/>
      <c r="AW29" s="21"/>
      <c r="AX29" s="21"/>
      <c r="AY29" s="21"/>
      <c r="AZ29" s="25">
        <f t="shared" si="21"/>
        <v>0</v>
      </c>
      <c r="BA29" s="23"/>
      <c r="BB29" s="21"/>
      <c r="BC29" s="21"/>
      <c r="BD29" s="21"/>
      <c r="BE29" s="25">
        <f t="shared" si="22"/>
        <v>0</v>
      </c>
      <c r="BF29" s="23"/>
      <c r="BG29" s="21"/>
      <c r="BH29" s="21"/>
      <c r="BI29" s="21"/>
      <c r="BJ29" s="25">
        <f>SUM(BF29:BH29)</f>
        <v>0</v>
      </c>
      <c r="BK29" s="23"/>
      <c r="BL29" s="21"/>
      <c r="BM29" s="21"/>
      <c r="BN29" s="21"/>
      <c r="BO29" s="25">
        <f>SUM(BK29:BM29)</f>
        <v>0</v>
      </c>
      <c r="BP29" s="23"/>
      <c r="BQ29" s="21"/>
      <c r="BR29" s="21"/>
      <c r="BS29" s="21"/>
      <c r="BT29" s="25">
        <f t="shared" si="4"/>
        <v>0</v>
      </c>
      <c r="BU29" s="21"/>
      <c r="BV29" s="26"/>
      <c r="BW29" s="21"/>
      <c r="BX29" s="21"/>
      <c r="BY29" s="21"/>
      <c r="BZ29" s="27">
        <f t="shared" si="0"/>
        <v>0</v>
      </c>
      <c r="CA29" s="26"/>
      <c r="CB29" s="21"/>
      <c r="CC29" s="21"/>
      <c r="CD29" s="21"/>
      <c r="CE29" s="27">
        <f t="shared" si="1"/>
        <v>0</v>
      </c>
      <c r="CF29" s="26"/>
      <c r="CG29" s="21"/>
      <c r="CH29" s="21"/>
      <c r="CI29" s="21"/>
      <c r="CJ29" s="27">
        <f t="shared" si="2"/>
        <v>0</v>
      </c>
    </row>
    <row r="30" spans="2:88" x14ac:dyDescent="0.25">
      <c r="B30" t="s">
        <v>41</v>
      </c>
      <c r="C30" s="17">
        <v>11500000000</v>
      </c>
      <c r="D30" t="s">
        <v>124</v>
      </c>
      <c r="E30" t="str">
        <f t="shared" si="3"/>
        <v>Over $10 Billion</v>
      </c>
      <c r="F30">
        <f>IF(C30="", "", COUNTIF($C$6:C30,"&gt;0"))</f>
        <v>25</v>
      </c>
      <c r="G30" t="str">
        <f>IF(E30&lt;&gt;'[1]By Asset Category'!$B$1,"",COUNTIF($E$6:E30,'[1]By Asset Category'!$B$1))</f>
        <v/>
      </c>
      <c r="H30" s="30" t="s">
        <v>125</v>
      </c>
      <c r="I30" s="32" t="s">
        <v>126</v>
      </c>
      <c r="J30" t="s">
        <v>3</v>
      </c>
      <c r="K30" t="s">
        <v>3</v>
      </c>
      <c r="L30" s="33"/>
      <c r="M30" s="34">
        <v>0</v>
      </c>
      <c r="N30" s="19">
        <v>0</v>
      </c>
      <c r="O30" s="19">
        <v>0</v>
      </c>
      <c r="P30" s="19"/>
      <c r="Q30" s="19">
        <f>SUM(M30:P30)</f>
        <v>0</v>
      </c>
      <c r="R30" s="34">
        <v>700</v>
      </c>
      <c r="S30" s="19">
        <v>200</v>
      </c>
      <c r="T30" s="19">
        <v>0</v>
      </c>
      <c r="U30" s="19"/>
      <c r="V30" s="19">
        <f>SUM(R30:U30)</f>
        <v>900</v>
      </c>
      <c r="W30" s="26">
        <v>350</v>
      </c>
      <c r="X30" s="21">
        <v>650</v>
      </c>
      <c r="Y30" s="21">
        <v>1000</v>
      </c>
      <c r="Z30" s="21">
        <v>0</v>
      </c>
      <c r="AA30" s="22">
        <f>SUM(W30:Z30)</f>
        <v>2000</v>
      </c>
      <c r="AB30" s="23">
        <v>250</v>
      </c>
      <c r="AC30" s="21">
        <v>750</v>
      </c>
      <c r="AD30" s="21"/>
      <c r="AE30" s="21"/>
      <c r="AF30" s="35">
        <f>SUM(AB30:AE30)</f>
        <v>1000</v>
      </c>
      <c r="AG30" s="23"/>
      <c r="AH30" s="21"/>
      <c r="AI30" s="21"/>
      <c r="AJ30" s="21"/>
      <c r="AK30" s="22">
        <f>SUM(AG30:AJ30)</f>
        <v>0</v>
      </c>
      <c r="AL30" s="23">
        <v>1395</v>
      </c>
      <c r="AM30" s="21">
        <v>650</v>
      </c>
      <c r="AN30" s="21"/>
      <c r="AO30" s="21"/>
      <c r="AP30" s="22">
        <f>SUM(AL30:AO30)</f>
        <v>2045</v>
      </c>
      <c r="AQ30" s="23"/>
      <c r="AR30" s="21"/>
      <c r="AS30" s="21"/>
      <c r="AT30" s="21"/>
      <c r="AU30" s="25">
        <f t="shared" si="20"/>
        <v>0</v>
      </c>
      <c r="AV30" s="23"/>
      <c r="AW30" s="21"/>
      <c r="AX30" s="21"/>
      <c r="AY30" s="21"/>
      <c r="AZ30" s="25">
        <f t="shared" si="21"/>
        <v>0</v>
      </c>
      <c r="BA30" s="23"/>
      <c r="BB30" s="21"/>
      <c r="BC30" s="21"/>
      <c r="BD30" s="21"/>
      <c r="BE30" s="25">
        <f t="shared" si="22"/>
        <v>0</v>
      </c>
      <c r="BF30" s="23">
        <v>1000</v>
      </c>
      <c r="BG30" s="21"/>
      <c r="BH30" s="21"/>
      <c r="BI30" s="21"/>
      <c r="BJ30" s="25"/>
      <c r="BK30" s="23"/>
      <c r="BL30" s="21"/>
      <c r="BM30" s="21"/>
      <c r="BN30" s="21"/>
      <c r="BO30" s="25"/>
      <c r="BP30" s="23"/>
      <c r="BQ30" s="21"/>
      <c r="BR30" s="21"/>
      <c r="BS30" s="21"/>
      <c r="BT30" s="25">
        <f t="shared" si="4"/>
        <v>0</v>
      </c>
      <c r="BU30" s="21"/>
      <c r="BV30" s="26"/>
      <c r="BW30" s="21"/>
      <c r="BX30" s="21"/>
      <c r="BY30" s="21"/>
      <c r="BZ30" s="27">
        <f t="shared" si="0"/>
        <v>0</v>
      </c>
      <c r="CA30" s="26"/>
      <c r="CB30" s="21"/>
      <c r="CC30" s="21"/>
      <c r="CD30" s="21"/>
      <c r="CE30" s="27">
        <f t="shared" si="1"/>
        <v>0</v>
      </c>
      <c r="CF30" s="26"/>
      <c r="CG30" s="21"/>
      <c r="CH30" s="21"/>
      <c r="CI30" s="21"/>
      <c r="CJ30" s="27">
        <f t="shared" si="2"/>
        <v>0</v>
      </c>
    </row>
    <row r="31" spans="2:88" x14ac:dyDescent="0.25">
      <c r="B31" t="s">
        <v>58</v>
      </c>
      <c r="C31" s="17">
        <v>10934369000</v>
      </c>
      <c r="D31" t="s">
        <v>127</v>
      </c>
      <c r="E31" t="str">
        <f t="shared" si="3"/>
        <v>Over $10 Billion</v>
      </c>
      <c r="F31">
        <f>IF(C31="", "", COUNTIF($C$6:C31,"&gt;0"))</f>
        <v>26</v>
      </c>
      <c r="G31" t="str">
        <f>IF(E31&lt;&gt;'[1]By Asset Category'!$B$1,"",COUNTIF($E$6:E31,'[1]By Asset Category'!$B$1))</f>
        <v/>
      </c>
      <c r="H31" t="s">
        <v>128</v>
      </c>
      <c r="I31" t="s">
        <v>3</v>
      </c>
      <c r="J31" t="s">
        <v>3</v>
      </c>
      <c r="K31" t="s">
        <v>3</v>
      </c>
      <c r="L31" s="33"/>
      <c r="M31" s="34"/>
      <c r="N31" s="19"/>
      <c r="O31" s="19"/>
      <c r="P31" s="19"/>
      <c r="Q31" s="19"/>
      <c r="R31" s="34"/>
      <c r="S31" s="19"/>
      <c r="T31" s="19"/>
      <c r="U31" s="19"/>
      <c r="V31" s="19"/>
      <c r="W31" s="26"/>
      <c r="X31" s="21"/>
      <c r="Y31" s="21"/>
      <c r="Z31" s="21"/>
      <c r="AA31" s="22"/>
      <c r="AB31" s="23"/>
      <c r="AC31" s="21"/>
      <c r="AD31" s="21"/>
      <c r="AE31" s="21"/>
      <c r="AF31" s="35"/>
      <c r="AG31" s="23"/>
      <c r="AH31" s="21"/>
      <c r="AI31" s="21">
        <v>2000</v>
      </c>
      <c r="AJ31" s="21"/>
      <c r="AK31" s="22"/>
      <c r="AL31" s="23"/>
      <c r="AM31" s="21"/>
      <c r="AN31" s="21"/>
      <c r="AO31" s="21"/>
      <c r="AP31" s="22"/>
      <c r="AQ31" s="23"/>
      <c r="AR31" s="21"/>
      <c r="AS31" s="21"/>
      <c r="AT31" s="21"/>
      <c r="AU31" s="25"/>
      <c r="AV31" s="23">
        <v>225</v>
      </c>
      <c r="AW31" s="21">
        <v>1000</v>
      </c>
      <c r="AX31" s="21">
        <v>2000</v>
      </c>
      <c r="AY31" s="21"/>
      <c r="AZ31" s="25">
        <f t="shared" si="21"/>
        <v>3225</v>
      </c>
      <c r="BA31" s="23"/>
      <c r="BB31" s="21"/>
      <c r="BC31" s="21"/>
      <c r="BD31" s="21"/>
      <c r="BE31" s="25">
        <f t="shared" si="22"/>
        <v>0</v>
      </c>
      <c r="BF31" s="23"/>
      <c r="BG31" s="21"/>
      <c r="BH31" s="21"/>
      <c r="BI31" s="21"/>
      <c r="BJ31" s="25">
        <f>SUM(BF31:BI31)</f>
        <v>0</v>
      </c>
      <c r="BK31" s="23"/>
      <c r="BL31" s="21"/>
      <c r="BM31" s="21"/>
      <c r="BN31" s="21"/>
      <c r="BO31" s="25">
        <f>SUM(BK31:BN31)</f>
        <v>0</v>
      </c>
      <c r="BP31" s="23"/>
      <c r="BQ31" s="21"/>
      <c r="BR31" s="21"/>
      <c r="BS31" s="21"/>
      <c r="BT31" s="25">
        <f t="shared" si="4"/>
        <v>0</v>
      </c>
      <c r="BU31" s="21">
        <v>300</v>
      </c>
      <c r="BV31" s="26"/>
      <c r="BW31" s="21"/>
      <c r="BX31" s="21"/>
      <c r="BY31" s="21"/>
      <c r="BZ31" s="27">
        <f t="shared" si="0"/>
        <v>0</v>
      </c>
      <c r="CA31" s="26"/>
      <c r="CB31" s="21"/>
      <c r="CC31" s="21"/>
      <c r="CD31" s="21"/>
      <c r="CE31" s="27">
        <f t="shared" si="1"/>
        <v>0</v>
      </c>
      <c r="CF31" s="26"/>
      <c r="CG31" s="21"/>
      <c r="CH31" s="21"/>
      <c r="CI31" s="21"/>
      <c r="CJ31" s="27">
        <f t="shared" si="2"/>
        <v>0</v>
      </c>
    </row>
    <row r="32" spans="2:88" x14ac:dyDescent="0.25">
      <c r="B32" t="s">
        <v>35</v>
      </c>
      <c r="C32" s="17">
        <v>1104652000</v>
      </c>
      <c r="D32" t="s">
        <v>129</v>
      </c>
      <c r="E32" t="str">
        <f t="shared" si="3"/>
        <v>$800 Million - $2 Billion</v>
      </c>
      <c r="F32">
        <f>IF(C32="", "", COUNTIF($C$6:C32,"&gt;0"))</f>
        <v>27</v>
      </c>
      <c r="G32">
        <f>IF(E32&lt;&gt;'[1]By Asset Category'!$B$1,"",COUNTIF($E$6:E32,'[1]By Asset Category'!$B$1))</f>
        <v>7</v>
      </c>
      <c r="H32" t="s">
        <v>130</v>
      </c>
      <c r="I32" t="s">
        <v>131</v>
      </c>
      <c r="J32" t="s">
        <v>132</v>
      </c>
      <c r="K32" t="s">
        <v>133</v>
      </c>
      <c r="L32" s="33"/>
      <c r="M32" s="34">
        <v>0</v>
      </c>
      <c r="N32" s="19">
        <v>0</v>
      </c>
      <c r="O32" s="19">
        <v>2000</v>
      </c>
      <c r="P32" s="19"/>
      <c r="Q32" s="19">
        <f t="shared" ref="Q32:Q58" si="23">SUM(M32:P32)</f>
        <v>2000</v>
      </c>
      <c r="R32" s="34">
        <v>0</v>
      </c>
      <c r="S32" s="19">
        <v>0</v>
      </c>
      <c r="T32" s="19">
        <v>2500</v>
      </c>
      <c r="U32" s="19"/>
      <c r="V32" s="19">
        <f t="shared" ref="V32:V58" si="24">SUM(R32:U32)</f>
        <v>2500</v>
      </c>
      <c r="W32" s="26">
        <v>0</v>
      </c>
      <c r="X32" s="21">
        <v>0</v>
      </c>
      <c r="Y32" s="21">
        <v>3500</v>
      </c>
      <c r="Z32" s="21"/>
      <c r="AA32" s="22">
        <f t="shared" ref="AA32:AA58" si="25">SUM(W32:Z32)</f>
        <v>3500</v>
      </c>
      <c r="AB32" s="23">
        <v>100</v>
      </c>
      <c r="AC32" s="21"/>
      <c r="AD32" s="21">
        <v>3500</v>
      </c>
      <c r="AE32" s="21"/>
      <c r="AF32" s="35">
        <f t="shared" ref="AF32:AF58" si="26">SUM(AB32:AE32)</f>
        <v>3600</v>
      </c>
      <c r="AG32" s="23">
        <v>325</v>
      </c>
      <c r="AH32" s="21"/>
      <c r="AI32" s="21">
        <v>4000</v>
      </c>
      <c r="AJ32" s="21"/>
      <c r="AK32" s="22">
        <f t="shared" ref="AK32:AK58" si="27">SUM(AG32:AJ32)</f>
        <v>4325</v>
      </c>
      <c r="AL32" s="23"/>
      <c r="AM32" s="21"/>
      <c r="AN32" s="21">
        <v>5000</v>
      </c>
      <c r="AO32" s="21"/>
      <c r="AP32" s="22">
        <f t="shared" ref="AP32:AP58" si="28">SUM(AL32:AO32)</f>
        <v>5000</v>
      </c>
      <c r="AQ32" s="23"/>
      <c r="AR32" s="21"/>
      <c r="AS32" s="21">
        <v>5000</v>
      </c>
      <c r="AT32" s="21"/>
      <c r="AU32" s="25">
        <f t="shared" ref="AU32:AU58" si="29">SUM(AQ32:AT32)</f>
        <v>5000</v>
      </c>
      <c r="AV32" s="23"/>
      <c r="AW32" s="21"/>
      <c r="AX32" s="21">
        <v>5000</v>
      </c>
      <c r="AY32" s="21"/>
      <c r="AZ32" s="25">
        <f t="shared" si="21"/>
        <v>5000</v>
      </c>
      <c r="BA32" s="23"/>
      <c r="BB32" s="21"/>
      <c r="BC32" s="21">
        <v>5000</v>
      </c>
      <c r="BD32" s="21"/>
      <c r="BE32" s="25">
        <f t="shared" si="22"/>
        <v>5000</v>
      </c>
      <c r="BF32" s="23"/>
      <c r="BG32" s="21"/>
      <c r="BH32" s="21">
        <v>5000</v>
      </c>
      <c r="BI32" s="21"/>
      <c r="BJ32" s="25">
        <f>SUM(BF32:BH32)</f>
        <v>5000</v>
      </c>
      <c r="BK32" s="23"/>
      <c r="BL32" s="21"/>
      <c r="BM32" s="21">
        <v>5000</v>
      </c>
      <c r="BN32" s="21"/>
      <c r="BO32" s="25">
        <f>SUM(BK32:BM32)</f>
        <v>5000</v>
      </c>
      <c r="BP32" s="23"/>
      <c r="BQ32" s="21"/>
      <c r="BR32" s="21">
        <v>5000</v>
      </c>
      <c r="BS32" s="21"/>
      <c r="BT32" s="25">
        <f t="shared" si="4"/>
        <v>5000</v>
      </c>
      <c r="BU32" s="21"/>
      <c r="BV32" s="26"/>
      <c r="BW32" s="21"/>
      <c r="BX32" s="21">
        <v>5000</v>
      </c>
      <c r="BY32" s="21"/>
      <c r="BZ32" s="27">
        <f t="shared" si="0"/>
        <v>5000</v>
      </c>
      <c r="CA32" s="26"/>
      <c r="CB32" s="21"/>
      <c r="CC32" s="21">
        <v>5000</v>
      </c>
      <c r="CD32" s="21"/>
      <c r="CE32" s="27">
        <f t="shared" si="1"/>
        <v>5000</v>
      </c>
      <c r="CF32" s="26"/>
      <c r="CG32" s="21"/>
      <c r="CH32" s="21"/>
      <c r="CI32" s="21"/>
      <c r="CJ32" s="27">
        <f t="shared" si="2"/>
        <v>0</v>
      </c>
    </row>
    <row r="33" spans="2:88" x14ac:dyDescent="0.25">
      <c r="B33" t="s">
        <v>53</v>
      </c>
      <c r="C33" s="17">
        <v>76646000</v>
      </c>
      <c r="D33" t="s">
        <v>134</v>
      </c>
      <c r="E33" t="str">
        <f t="shared" si="3"/>
        <v>Less than $350 Million</v>
      </c>
      <c r="F33">
        <f>IF(C33="", "", COUNTIF($C$6:C33,"&gt;0"))</f>
        <v>28</v>
      </c>
      <c r="G33" t="str">
        <f>IF(E33&lt;&gt;'[1]By Asset Category'!$B$1,"",COUNTIF($E$6:E33,'[1]By Asset Category'!$B$1))</f>
        <v/>
      </c>
      <c r="H33" t="s">
        <v>135</v>
      </c>
      <c r="I33" t="s">
        <v>136</v>
      </c>
      <c r="J33" t="s">
        <v>137</v>
      </c>
      <c r="K33" t="s">
        <v>138</v>
      </c>
      <c r="L33" s="33"/>
      <c r="M33" s="34">
        <v>0</v>
      </c>
      <c r="N33" s="19">
        <v>0</v>
      </c>
      <c r="O33" s="19">
        <v>0</v>
      </c>
      <c r="P33" s="19">
        <v>0</v>
      </c>
      <c r="Q33" s="19">
        <f t="shared" si="23"/>
        <v>0</v>
      </c>
      <c r="R33" s="34">
        <v>0</v>
      </c>
      <c r="S33" s="19">
        <v>0</v>
      </c>
      <c r="T33" s="19">
        <v>0</v>
      </c>
      <c r="U33" s="19">
        <v>0</v>
      </c>
      <c r="V33" s="19">
        <f t="shared" si="24"/>
        <v>0</v>
      </c>
      <c r="W33" s="26">
        <v>0</v>
      </c>
      <c r="X33" s="21">
        <v>0</v>
      </c>
      <c r="Y33" s="21">
        <v>0</v>
      </c>
      <c r="Z33" s="21"/>
      <c r="AA33" s="22">
        <f t="shared" si="25"/>
        <v>0</v>
      </c>
      <c r="AB33" s="23"/>
      <c r="AC33" s="21"/>
      <c r="AD33" s="21"/>
      <c r="AE33" s="21"/>
      <c r="AF33" s="35">
        <f t="shared" si="26"/>
        <v>0</v>
      </c>
      <c r="AG33" s="23"/>
      <c r="AH33" s="21"/>
      <c r="AI33" s="21"/>
      <c r="AJ33" s="21"/>
      <c r="AK33" s="22">
        <f t="shared" si="27"/>
        <v>0</v>
      </c>
      <c r="AL33" s="23"/>
      <c r="AM33" s="21"/>
      <c r="AN33" s="21"/>
      <c r="AO33" s="21"/>
      <c r="AP33" s="22">
        <f t="shared" si="28"/>
        <v>0</v>
      </c>
      <c r="AQ33" s="23"/>
      <c r="AR33" s="21"/>
      <c r="AS33" s="21"/>
      <c r="AT33" s="21"/>
      <c r="AU33" s="25">
        <f t="shared" si="29"/>
        <v>0</v>
      </c>
      <c r="AV33" s="23"/>
      <c r="AW33" s="21"/>
      <c r="AX33" s="21"/>
      <c r="AY33" s="21"/>
      <c r="AZ33" s="25">
        <f t="shared" si="21"/>
        <v>0</v>
      </c>
      <c r="BA33" s="23"/>
      <c r="BB33" s="21"/>
      <c r="BC33" s="21"/>
      <c r="BD33" s="21"/>
      <c r="BE33" s="25">
        <f t="shared" si="22"/>
        <v>0</v>
      </c>
      <c r="BF33" s="23"/>
      <c r="BG33" s="21"/>
      <c r="BH33" s="21"/>
      <c r="BI33" s="21"/>
      <c r="BJ33" s="25">
        <f t="shared" ref="BJ33:BJ39" si="30">SUM(BF33:BI33)</f>
        <v>0</v>
      </c>
      <c r="BK33" s="23"/>
      <c r="BL33" s="21"/>
      <c r="BM33" s="21"/>
      <c r="BN33" s="21"/>
      <c r="BO33" s="25">
        <f t="shared" ref="BO33:BO39" si="31">SUM(BK33:BN33)</f>
        <v>0</v>
      </c>
      <c r="BP33" s="23"/>
      <c r="BQ33" s="21"/>
      <c r="BR33" s="21"/>
      <c r="BS33" s="21"/>
      <c r="BT33" s="25">
        <f t="shared" si="4"/>
        <v>0</v>
      </c>
      <c r="BU33" s="21"/>
      <c r="BV33" s="26"/>
      <c r="BW33" s="21"/>
      <c r="BX33" s="21"/>
      <c r="BY33" s="21"/>
      <c r="BZ33" s="27">
        <f t="shared" si="0"/>
        <v>0</v>
      </c>
      <c r="CA33" s="26"/>
      <c r="CB33" s="21"/>
      <c r="CC33" s="21"/>
      <c r="CD33" s="21"/>
      <c r="CE33" s="27">
        <f t="shared" si="1"/>
        <v>0</v>
      </c>
      <c r="CF33" s="26"/>
      <c r="CG33" s="21"/>
      <c r="CH33" s="21"/>
      <c r="CI33" s="21"/>
      <c r="CJ33" s="27">
        <f t="shared" si="2"/>
        <v>0</v>
      </c>
    </row>
    <row r="34" spans="2:88" x14ac:dyDescent="0.25">
      <c r="B34" t="s">
        <v>53</v>
      </c>
      <c r="C34" s="17">
        <v>161893000</v>
      </c>
      <c r="D34" t="s">
        <v>139</v>
      </c>
      <c r="E34" t="str">
        <f t="shared" si="3"/>
        <v>Less than $350 Million</v>
      </c>
      <c r="F34">
        <f>IF(C34="", "", COUNTIF($C$6:C34,"&gt;0"))</f>
        <v>29</v>
      </c>
      <c r="G34" t="str">
        <f>IF(E34&lt;&gt;'[1]By Asset Category'!$B$1,"",COUNTIF($E$6:E34,'[1]By Asset Category'!$B$1))</f>
        <v/>
      </c>
      <c r="H34" t="s">
        <v>140</v>
      </c>
      <c r="I34" t="s">
        <v>86</v>
      </c>
      <c r="J34" t="s">
        <v>141</v>
      </c>
      <c r="K34" t="s">
        <v>142</v>
      </c>
      <c r="L34" s="33"/>
      <c r="M34" s="34">
        <v>0</v>
      </c>
      <c r="N34" s="19">
        <v>0</v>
      </c>
      <c r="O34" s="19">
        <v>0</v>
      </c>
      <c r="P34" s="19">
        <v>0</v>
      </c>
      <c r="Q34" s="19">
        <f t="shared" si="23"/>
        <v>0</v>
      </c>
      <c r="R34" s="34">
        <v>0</v>
      </c>
      <c r="S34" s="19">
        <v>0</v>
      </c>
      <c r="T34" s="19">
        <v>0</v>
      </c>
      <c r="U34" s="19">
        <v>0</v>
      </c>
      <c r="V34" s="19">
        <f t="shared" si="24"/>
        <v>0</v>
      </c>
      <c r="W34" s="26">
        <v>0</v>
      </c>
      <c r="X34" s="21">
        <v>0</v>
      </c>
      <c r="Y34" s="21">
        <v>0</v>
      </c>
      <c r="Z34" s="21"/>
      <c r="AA34" s="22">
        <f t="shared" si="25"/>
        <v>0</v>
      </c>
      <c r="AB34" s="23"/>
      <c r="AC34" s="21"/>
      <c r="AD34" s="21"/>
      <c r="AE34" s="21"/>
      <c r="AF34" s="35">
        <f t="shared" si="26"/>
        <v>0</v>
      </c>
      <c r="AG34" s="23">
        <v>10</v>
      </c>
      <c r="AH34" s="21"/>
      <c r="AI34" s="21"/>
      <c r="AJ34" s="21"/>
      <c r="AK34" s="22">
        <f t="shared" si="27"/>
        <v>10</v>
      </c>
      <c r="AL34" s="23">
        <v>200</v>
      </c>
      <c r="AM34" s="21">
        <v>100</v>
      </c>
      <c r="AN34" s="21"/>
      <c r="AO34" s="21"/>
      <c r="AP34" s="22">
        <f t="shared" si="28"/>
        <v>300</v>
      </c>
      <c r="AQ34" s="23"/>
      <c r="AR34" s="21"/>
      <c r="AS34" s="21"/>
      <c r="AT34" s="21"/>
      <c r="AU34" s="25">
        <f t="shared" si="29"/>
        <v>0</v>
      </c>
      <c r="AV34" s="23"/>
      <c r="AW34" s="21"/>
      <c r="AX34" s="21"/>
      <c r="AY34" s="21"/>
      <c r="AZ34" s="25">
        <f t="shared" si="21"/>
        <v>0</v>
      </c>
      <c r="BA34" s="23"/>
      <c r="BB34" s="21"/>
      <c r="BC34" s="21"/>
      <c r="BD34" s="21"/>
      <c r="BE34" s="25">
        <f t="shared" si="22"/>
        <v>0</v>
      </c>
      <c r="BF34" s="23"/>
      <c r="BG34" s="21"/>
      <c r="BH34" s="21"/>
      <c r="BI34" s="21"/>
      <c r="BJ34" s="25">
        <f t="shared" si="30"/>
        <v>0</v>
      </c>
      <c r="BK34" s="23"/>
      <c r="BL34" s="21"/>
      <c r="BM34" s="21"/>
      <c r="BN34" s="21"/>
      <c r="BO34" s="25">
        <f t="shared" si="31"/>
        <v>0</v>
      </c>
      <c r="BP34" s="23"/>
      <c r="BQ34" s="21"/>
      <c r="BR34" s="21"/>
      <c r="BS34" s="21"/>
      <c r="BT34" s="25">
        <f t="shared" si="4"/>
        <v>0</v>
      </c>
      <c r="BU34" s="21"/>
      <c r="BV34" s="26"/>
      <c r="BW34" s="21"/>
      <c r="BX34" s="21"/>
      <c r="BY34" s="21"/>
      <c r="BZ34" s="27">
        <f t="shared" si="0"/>
        <v>0</v>
      </c>
      <c r="CA34" s="26"/>
      <c r="CB34" s="21"/>
      <c r="CC34" s="21"/>
      <c r="CD34" s="21"/>
      <c r="CE34" s="27">
        <f t="shared" si="1"/>
        <v>0</v>
      </c>
      <c r="CF34" s="26"/>
      <c r="CG34" s="21"/>
      <c r="CH34" s="21"/>
      <c r="CI34" s="21"/>
      <c r="CJ34" s="27">
        <f t="shared" si="2"/>
        <v>0</v>
      </c>
    </row>
    <row r="35" spans="2:88" x14ac:dyDescent="0.25">
      <c r="B35" t="s">
        <v>41</v>
      </c>
      <c r="C35" s="17">
        <v>589445000</v>
      </c>
      <c r="D35" t="s">
        <v>143</v>
      </c>
      <c r="E35" t="str">
        <f t="shared" si="3"/>
        <v>$350 Million - $800 Million</v>
      </c>
      <c r="F35">
        <f>IF(C35="", "", COUNTIF($C$6:C35,"&gt;0"))</f>
        <v>30</v>
      </c>
      <c r="G35" t="str">
        <f>IF(E35&lt;&gt;'[1]By Asset Category'!$B$1,"",COUNTIF($E$6:E35,'[1]By Asset Category'!$B$1))</f>
        <v/>
      </c>
      <c r="H35" s="30" t="s">
        <v>144</v>
      </c>
      <c r="L35" s="33" t="s">
        <v>3</v>
      </c>
      <c r="M35" s="34">
        <v>0</v>
      </c>
      <c r="N35" s="19">
        <v>0</v>
      </c>
      <c r="O35" s="19">
        <v>1000</v>
      </c>
      <c r="P35" s="19">
        <v>0</v>
      </c>
      <c r="Q35" s="19">
        <f t="shared" si="23"/>
        <v>1000</v>
      </c>
      <c r="R35" s="34">
        <v>0</v>
      </c>
      <c r="S35" s="19">
        <v>0</v>
      </c>
      <c r="T35" s="19">
        <v>0</v>
      </c>
      <c r="U35" s="19">
        <v>0</v>
      </c>
      <c r="V35" s="19">
        <f t="shared" si="24"/>
        <v>0</v>
      </c>
      <c r="W35" s="26">
        <v>0</v>
      </c>
      <c r="X35" s="21">
        <v>0</v>
      </c>
      <c r="Y35" s="21">
        <v>1000</v>
      </c>
      <c r="Z35" s="21"/>
      <c r="AA35" s="22">
        <f t="shared" si="25"/>
        <v>1000</v>
      </c>
      <c r="AB35" s="23"/>
      <c r="AC35" s="21"/>
      <c r="AD35" s="21">
        <v>1000</v>
      </c>
      <c r="AE35" s="21"/>
      <c r="AF35" s="35">
        <f t="shared" si="26"/>
        <v>1000</v>
      </c>
      <c r="AG35" s="23"/>
      <c r="AH35" s="21">
        <v>150</v>
      </c>
      <c r="AI35" s="21">
        <v>1000</v>
      </c>
      <c r="AJ35" s="21"/>
      <c r="AK35" s="22">
        <f t="shared" si="27"/>
        <v>1150</v>
      </c>
      <c r="AL35" s="23"/>
      <c r="AM35" s="21">
        <v>475</v>
      </c>
      <c r="AN35" s="21">
        <v>1000</v>
      </c>
      <c r="AO35" s="21"/>
      <c r="AP35" s="22">
        <f t="shared" si="28"/>
        <v>1475</v>
      </c>
      <c r="AQ35" s="23">
        <v>400</v>
      </c>
      <c r="AR35" s="21">
        <v>150</v>
      </c>
      <c r="AS35" s="21">
        <v>1000</v>
      </c>
      <c r="AT35" s="21"/>
      <c r="AU35" s="25">
        <f t="shared" si="29"/>
        <v>1550</v>
      </c>
      <c r="AV35" s="23">
        <v>300</v>
      </c>
      <c r="AW35" s="21">
        <v>450</v>
      </c>
      <c r="AX35" s="21">
        <v>2000</v>
      </c>
      <c r="AY35" s="21"/>
      <c r="AZ35" s="25">
        <f t="shared" si="21"/>
        <v>2750</v>
      </c>
      <c r="BA35" s="23">
        <v>300</v>
      </c>
      <c r="BB35" s="21">
        <v>350</v>
      </c>
      <c r="BC35" s="21">
        <v>1000</v>
      </c>
      <c r="BD35" s="21"/>
      <c r="BE35" s="25">
        <f t="shared" si="22"/>
        <v>1650</v>
      </c>
      <c r="BF35" s="23">
        <v>500</v>
      </c>
      <c r="BG35" s="21">
        <v>650</v>
      </c>
      <c r="BH35" s="21">
        <v>1000</v>
      </c>
      <c r="BI35" s="21"/>
      <c r="BJ35" s="25">
        <f t="shared" si="30"/>
        <v>2150</v>
      </c>
      <c r="BK35" s="23">
        <v>1500</v>
      </c>
      <c r="BL35" s="21">
        <v>400</v>
      </c>
      <c r="BM35" s="21">
        <v>1000</v>
      </c>
      <c r="BN35" s="21"/>
      <c r="BO35" s="25">
        <f t="shared" si="31"/>
        <v>2900</v>
      </c>
      <c r="BP35" s="28" t="s">
        <v>3</v>
      </c>
      <c r="BQ35" s="21">
        <v>500</v>
      </c>
      <c r="BR35" s="21">
        <v>2000</v>
      </c>
      <c r="BS35" s="21"/>
      <c r="BT35" s="25">
        <f t="shared" si="4"/>
        <v>2500</v>
      </c>
      <c r="BU35" s="21">
        <v>250</v>
      </c>
      <c r="BV35" s="36" t="s">
        <v>3</v>
      </c>
      <c r="BW35" s="21">
        <v>1150</v>
      </c>
      <c r="BX35" s="21">
        <v>2000</v>
      </c>
      <c r="BY35" s="21"/>
      <c r="BZ35" s="27">
        <f t="shared" si="0"/>
        <v>3150</v>
      </c>
      <c r="CA35" s="36">
        <v>0</v>
      </c>
      <c r="CB35" s="21">
        <v>1650</v>
      </c>
      <c r="CC35" s="21">
        <v>3000</v>
      </c>
      <c r="CD35" s="21"/>
      <c r="CE35" s="27">
        <f t="shared" si="1"/>
        <v>4650</v>
      </c>
      <c r="CF35" s="36">
        <v>0</v>
      </c>
      <c r="CG35" s="21"/>
      <c r="CH35" s="21">
        <v>1000</v>
      </c>
      <c r="CI35" s="21"/>
      <c r="CJ35" s="27">
        <f t="shared" si="2"/>
        <v>1000</v>
      </c>
    </row>
    <row r="36" spans="2:88" x14ac:dyDescent="0.25">
      <c r="B36" t="s">
        <v>53</v>
      </c>
      <c r="C36" s="17">
        <v>2616812000</v>
      </c>
      <c r="D36" t="s">
        <v>145</v>
      </c>
      <c r="E36" t="str">
        <f t="shared" si="3"/>
        <v>$2 Billion - $10 Billion</v>
      </c>
      <c r="F36">
        <f>IF(C36="", "", COUNTIF($C$6:C36,"&gt;0"))</f>
        <v>31</v>
      </c>
      <c r="G36" t="str">
        <f>IF(E36&lt;&gt;'[1]By Asset Category'!$B$1,"",COUNTIF($E$6:E36,'[1]By Asset Category'!$B$1))</f>
        <v/>
      </c>
      <c r="H36" s="30" t="s">
        <v>146</v>
      </c>
      <c r="I36" t="s">
        <v>147</v>
      </c>
      <c r="L36" s="33" t="s">
        <v>46</v>
      </c>
      <c r="M36" s="34">
        <v>4475.0499999999993</v>
      </c>
      <c r="N36" s="19">
        <v>350</v>
      </c>
      <c r="O36" s="19">
        <v>3500</v>
      </c>
      <c r="P36" s="19"/>
      <c r="Q36" s="19">
        <f t="shared" si="23"/>
        <v>8325.0499999999993</v>
      </c>
      <c r="R36" s="34">
        <v>850</v>
      </c>
      <c r="S36" s="19">
        <v>0</v>
      </c>
      <c r="T36" s="19">
        <v>0</v>
      </c>
      <c r="U36" s="19"/>
      <c r="V36" s="19">
        <f t="shared" si="24"/>
        <v>850</v>
      </c>
      <c r="W36" s="26">
        <v>0</v>
      </c>
      <c r="X36" s="21">
        <v>0</v>
      </c>
      <c r="Y36" s="21">
        <v>5000</v>
      </c>
      <c r="Z36" s="21"/>
      <c r="AA36" s="22">
        <f t="shared" si="25"/>
        <v>5000</v>
      </c>
      <c r="AB36" s="23">
        <v>1805</v>
      </c>
      <c r="AC36" s="21">
        <v>100</v>
      </c>
      <c r="AD36" s="21">
        <v>5000</v>
      </c>
      <c r="AE36" s="21"/>
      <c r="AF36" s="35">
        <f t="shared" si="26"/>
        <v>6905</v>
      </c>
      <c r="AG36" s="23">
        <v>2105</v>
      </c>
      <c r="AH36" s="21">
        <v>250</v>
      </c>
      <c r="AI36" s="21">
        <v>4000</v>
      </c>
      <c r="AJ36" s="21"/>
      <c r="AK36" s="22">
        <f t="shared" si="27"/>
        <v>6355</v>
      </c>
      <c r="AL36" s="23">
        <v>1920</v>
      </c>
      <c r="AM36" s="21">
        <v>500</v>
      </c>
      <c r="AN36" s="21">
        <v>4000</v>
      </c>
      <c r="AO36" s="21"/>
      <c r="AP36" s="22">
        <f t="shared" si="28"/>
        <v>6420</v>
      </c>
      <c r="AQ36" s="23">
        <v>1545</v>
      </c>
      <c r="AR36" s="21"/>
      <c r="AS36" s="21">
        <v>5000</v>
      </c>
      <c r="AT36" s="21"/>
      <c r="AU36" s="25">
        <f t="shared" si="29"/>
        <v>6545</v>
      </c>
      <c r="AV36" s="23">
        <v>1950</v>
      </c>
      <c r="AW36" s="21">
        <v>200</v>
      </c>
      <c r="AX36" s="21">
        <v>5000</v>
      </c>
      <c r="AY36" s="21"/>
      <c r="AZ36" s="25">
        <f t="shared" si="21"/>
        <v>7150</v>
      </c>
      <c r="BA36" s="23">
        <v>1750</v>
      </c>
      <c r="BB36" s="21"/>
      <c r="BC36" s="21">
        <v>5000</v>
      </c>
      <c r="BD36" s="21"/>
      <c r="BE36" s="25">
        <f t="shared" si="22"/>
        <v>6750</v>
      </c>
      <c r="BF36" s="23">
        <v>2000</v>
      </c>
      <c r="BG36" s="21">
        <v>1000</v>
      </c>
      <c r="BH36" s="21">
        <v>5000</v>
      </c>
      <c r="BI36" s="21"/>
      <c r="BJ36" s="25">
        <f t="shared" si="30"/>
        <v>8000</v>
      </c>
      <c r="BK36" s="23">
        <v>2425</v>
      </c>
      <c r="BL36" s="21">
        <v>750</v>
      </c>
      <c r="BM36" s="21">
        <v>5000</v>
      </c>
      <c r="BN36" s="21"/>
      <c r="BO36" s="25">
        <f t="shared" si="31"/>
        <v>8175</v>
      </c>
      <c r="BP36" s="23">
        <v>1675</v>
      </c>
      <c r="BQ36" s="21">
        <v>900</v>
      </c>
      <c r="BR36" s="21"/>
      <c r="BS36" s="21"/>
      <c r="BT36" s="25">
        <f t="shared" si="4"/>
        <v>2575</v>
      </c>
      <c r="BU36" s="21">
        <v>500</v>
      </c>
      <c r="BV36" s="26">
        <v>3825</v>
      </c>
      <c r="BW36" s="21">
        <v>1000</v>
      </c>
      <c r="BX36" s="21">
        <v>5000</v>
      </c>
      <c r="BY36" s="21"/>
      <c r="BZ36" s="27">
        <f t="shared" si="0"/>
        <v>9825</v>
      </c>
      <c r="CA36" s="26">
        <v>3075</v>
      </c>
      <c r="CB36" s="21">
        <v>1000</v>
      </c>
      <c r="CC36" s="21">
        <v>5000</v>
      </c>
      <c r="CD36" s="21"/>
      <c r="CE36" s="27">
        <f t="shared" si="1"/>
        <v>9075</v>
      </c>
      <c r="CF36" s="26">
        <v>2800</v>
      </c>
      <c r="CG36" s="21">
        <v>850</v>
      </c>
      <c r="CH36" s="21">
        <v>5000</v>
      </c>
      <c r="CI36" s="21"/>
      <c r="CJ36" s="27">
        <f t="shared" si="2"/>
        <v>8650</v>
      </c>
    </row>
    <row r="37" spans="2:88" x14ac:dyDescent="0.25">
      <c r="B37" t="s">
        <v>58</v>
      </c>
      <c r="C37" s="17">
        <v>1023545000</v>
      </c>
      <c r="D37" t="s">
        <v>148</v>
      </c>
      <c r="E37" t="str">
        <f t="shared" si="3"/>
        <v>$800 Million - $2 Billion</v>
      </c>
      <c r="F37">
        <f>IF(C37="", "", COUNTIF($C$6:C37,"&gt;0"))</f>
        <v>32</v>
      </c>
      <c r="G37">
        <f>IF(E37&lt;&gt;'[1]By Asset Category'!$B$1,"",COUNTIF($E$6:E37,'[1]By Asset Category'!$B$1))</f>
        <v>8</v>
      </c>
      <c r="H37" t="s">
        <v>149</v>
      </c>
      <c r="I37" t="s">
        <v>38</v>
      </c>
      <c r="J37" t="s">
        <v>150</v>
      </c>
      <c r="K37" t="s">
        <v>151</v>
      </c>
      <c r="L37" s="33" t="s">
        <v>46</v>
      </c>
      <c r="M37" s="34">
        <v>1115</v>
      </c>
      <c r="N37" s="19">
        <v>300</v>
      </c>
      <c r="O37" s="19">
        <v>1500</v>
      </c>
      <c r="P37" s="19"/>
      <c r="Q37" s="19">
        <f t="shared" si="23"/>
        <v>2915</v>
      </c>
      <c r="R37" s="34">
        <v>1000</v>
      </c>
      <c r="S37" s="19">
        <v>450</v>
      </c>
      <c r="T37" s="19">
        <v>500</v>
      </c>
      <c r="U37" s="19"/>
      <c r="V37" s="19">
        <f t="shared" si="24"/>
        <v>1950</v>
      </c>
      <c r="W37" s="26">
        <v>655</v>
      </c>
      <c r="X37" s="21">
        <v>500</v>
      </c>
      <c r="Y37" s="21">
        <v>500</v>
      </c>
      <c r="Z37" s="21"/>
      <c r="AA37" s="22">
        <f t="shared" si="25"/>
        <v>1655</v>
      </c>
      <c r="AB37" s="23">
        <v>785</v>
      </c>
      <c r="AC37" s="21">
        <v>900</v>
      </c>
      <c r="AD37" s="21">
        <v>500</v>
      </c>
      <c r="AE37" s="21"/>
      <c r="AF37" s="35">
        <f t="shared" si="26"/>
        <v>2185</v>
      </c>
      <c r="AG37" s="23">
        <v>1365</v>
      </c>
      <c r="AH37" s="21">
        <v>600</v>
      </c>
      <c r="AI37" s="21">
        <v>500</v>
      </c>
      <c r="AJ37" s="21"/>
      <c r="AK37" s="22">
        <f t="shared" si="27"/>
        <v>2465</v>
      </c>
      <c r="AL37" s="23">
        <v>1610</v>
      </c>
      <c r="AM37" s="21">
        <v>1700</v>
      </c>
      <c r="AN37" s="21">
        <v>500</v>
      </c>
      <c r="AO37" s="21"/>
      <c r="AP37" s="22">
        <f t="shared" si="28"/>
        <v>3810</v>
      </c>
      <c r="AQ37" s="23">
        <f>2405+50</f>
        <v>2455</v>
      </c>
      <c r="AR37" s="21">
        <v>1100</v>
      </c>
      <c r="AS37" s="21">
        <v>600</v>
      </c>
      <c r="AT37" s="21"/>
      <c r="AU37" s="25">
        <f t="shared" si="29"/>
        <v>4155</v>
      </c>
      <c r="AV37" s="23">
        <v>2530</v>
      </c>
      <c r="AW37" s="21">
        <v>650</v>
      </c>
      <c r="AX37" s="21">
        <v>600</v>
      </c>
      <c r="AY37" s="21"/>
      <c r="AZ37" s="25">
        <f t="shared" si="21"/>
        <v>3780</v>
      </c>
      <c r="BA37" s="23">
        <v>3065</v>
      </c>
      <c r="BB37" s="21">
        <v>1050</v>
      </c>
      <c r="BC37" s="21">
        <v>600</v>
      </c>
      <c r="BD37" s="21"/>
      <c r="BE37" s="25">
        <f t="shared" si="22"/>
        <v>4715</v>
      </c>
      <c r="BF37" s="23">
        <v>3200</v>
      </c>
      <c r="BG37" s="21">
        <v>1520</v>
      </c>
      <c r="BH37" s="21">
        <v>750</v>
      </c>
      <c r="BI37" s="21"/>
      <c r="BJ37" s="25">
        <f t="shared" si="30"/>
        <v>5470</v>
      </c>
      <c r="BK37" s="23">
        <v>3150</v>
      </c>
      <c r="BL37" s="21">
        <v>1350</v>
      </c>
      <c r="BM37" s="21">
        <v>1250</v>
      </c>
      <c r="BN37" s="21"/>
      <c r="BO37" s="25">
        <f t="shared" si="31"/>
        <v>5750</v>
      </c>
      <c r="BP37" s="23">
        <v>3200</v>
      </c>
      <c r="BQ37" s="21">
        <v>1850</v>
      </c>
      <c r="BR37" s="21">
        <v>1250</v>
      </c>
      <c r="BS37" s="21"/>
      <c r="BT37" s="25">
        <f t="shared" si="4"/>
        <v>6300</v>
      </c>
      <c r="BU37" s="21"/>
      <c r="BV37" s="26">
        <v>2450</v>
      </c>
      <c r="BW37" s="21">
        <v>2075</v>
      </c>
      <c r="BX37" s="21">
        <v>1500</v>
      </c>
      <c r="BY37" s="21"/>
      <c r="BZ37" s="27">
        <f t="shared" si="0"/>
        <v>6025</v>
      </c>
      <c r="CA37" s="26">
        <v>1925</v>
      </c>
      <c r="CB37" s="21">
        <v>2575</v>
      </c>
      <c r="CC37" s="21">
        <v>3000</v>
      </c>
      <c r="CD37" s="21"/>
      <c r="CE37" s="27">
        <f t="shared" si="1"/>
        <v>7500</v>
      </c>
      <c r="CF37" s="26">
        <v>1450</v>
      </c>
      <c r="CG37" s="21">
        <v>950</v>
      </c>
      <c r="CH37" s="21"/>
      <c r="CI37" s="21"/>
      <c r="CJ37" s="27">
        <f t="shared" si="2"/>
        <v>2400</v>
      </c>
    </row>
    <row r="38" spans="2:88" s="31" customFormat="1" x14ac:dyDescent="0.25">
      <c r="B38" s="31" t="s">
        <v>152</v>
      </c>
      <c r="C38" s="37">
        <v>1249928000</v>
      </c>
      <c r="D38" s="31" t="s">
        <v>153</v>
      </c>
      <c r="E38" t="str">
        <f t="shared" si="3"/>
        <v>$800 Million - $2 Billion</v>
      </c>
      <c r="F38">
        <f>IF(C38="", "", COUNTIF($C$6:C38,"&gt;0"))</f>
        <v>33</v>
      </c>
      <c r="G38">
        <f>IF(E38&lt;&gt;'[1]By Asset Category'!$B$1,"",COUNTIF($E$6:E38,'[1]By Asset Category'!$B$1))</f>
        <v>9</v>
      </c>
      <c r="H38" s="31" t="s">
        <v>154</v>
      </c>
      <c r="L38" s="38"/>
      <c r="M38" s="39"/>
      <c r="N38" s="40"/>
      <c r="O38" s="40"/>
      <c r="P38" s="40"/>
      <c r="Q38" s="40"/>
      <c r="R38" s="39"/>
      <c r="S38" s="40"/>
      <c r="T38" s="40"/>
      <c r="U38" s="40"/>
      <c r="V38" s="40"/>
      <c r="W38" s="41"/>
      <c r="X38" s="42"/>
      <c r="Y38" s="42"/>
      <c r="Z38" s="42"/>
      <c r="AA38" s="43"/>
      <c r="AB38" s="44"/>
      <c r="AC38" s="42"/>
      <c r="AD38" s="42"/>
      <c r="AE38" s="42"/>
      <c r="AF38" s="45"/>
      <c r="AG38" s="44"/>
      <c r="AH38" s="42"/>
      <c r="AI38" s="42"/>
      <c r="AJ38" s="42"/>
      <c r="AK38" s="43"/>
      <c r="AL38" s="44"/>
      <c r="AM38" s="42"/>
      <c r="AN38" s="42"/>
      <c r="AO38" s="42"/>
      <c r="AP38" s="43"/>
      <c r="AQ38" s="44"/>
      <c r="AR38" s="42"/>
      <c r="AS38" s="42"/>
      <c r="AT38" s="42"/>
      <c r="AU38" s="46"/>
      <c r="AV38" s="44"/>
      <c r="AW38" s="42"/>
      <c r="AX38" s="42"/>
      <c r="AY38" s="42"/>
      <c r="AZ38" s="46"/>
      <c r="BA38" s="44"/>
      <c r="BB38" s="42"/>
      <c r="BC38" s="42"/>
      <c r="BD38" s="42"/>
      <c r="BE38" s="46"/>
      <c r="BF38" s="44"/>
      <c r="BG38" s="42"/>
      <c r="BH38" s="42"/>
      <c r="BI38" s="42"/>
      <c r="BJ38" s="46"/>
      <c r="BK38" s="44"/>
      <c r="BL38" s="42"/>
      <c r="BM38" s="42"/>
      <c r="BN38" s="42"/>
      <c r="BO38" s="46"/>
      <c r="BP38" s="44"/>
      <c r="BQ38" s="42"/>
      <c r="BR38" s="42"/>
      <c r="BS38" s="42"/>
      <c r="BT38" s="46"/>
      <c r="BU38" s="42"/>
      <c r="BV38" s="41"/>
      <c r="BW38" s="42"/>
      <c r="BX38" s="42"/>
      <c r="BY38" s="42"/>
      <c r="BZ38" s="47"/>
      <c r="CA38" s="41"/>
      <c r="CB38" s="42"/>
      <c r="CC38" s="42"/>
      <c r="CD38" s="42"/>
      <c r="CE38" s="47"/>
      <c r="CF38" s="41"/>
      <c r="CG38" s="42"/>
      <c r="CH38" s="42"/>
      <c r="CI38" s="42"/>
      <c r="CJ38" s="47"/>
    </row>
    <row r="39" spans="2:88" x14ac:dyDescent="0.25">
      <c r="B39" t="s">
        <v>53</v>
      </c>
      <c r="C39" s="17">
        <v>3124291000</v>
      </c>
      <c r="D39" t="s">
        <v>155</v>
      </c>
      <c r="E39" t="str">
        <f t="shared" si="3"/>
        <v>$2 Billion - $10 Billion</v>
      </c>
      <c r="F39">
        <f>IF(C39="", "", COUNTIF($C$6:C39,"&gt;0"))</f>
        <v>34</v>
      </c>
      <c r="G39" t="str">
        <f>IF(E39&lt;&gt;'[1]By Asset Category'!$B$1,"",COUNTIF($E$6:E39,'[1]By Asset Category'!$B$1))</f>
        <v/>
      </c>
      <c r="H39" t="s">
        <v>156</v>
      </c>
      <c r="I39" t="s">
        <v>91</v>
      </c>
      <c r="J39" t="s">
        <v>157</v>
      </c>
      <c r="K39" t="s">
        <v>158</v>
      </c>
      <c r="L39" s="33" t="s">
        <v>3</v>
      </c>
      <c r="M39" s="34">
        <f>100+270</f>
        <v>370</v>
      </c>
      <c r="N39" s="19">
        <v>1300</v>
      </c>
      <c r="O39" s="19">
        <v>1000</v>
      </c>
      <c r="P39" s="19"/>
      <c r="Q39" s="19">
        <f t="shared" si="23"/>
        <v>2670</v>
      </c>
      <c r="R39" s="34">
        <v>390</v>
      </c>
      <c r="S39" s="19">
        <v>1250</v>
      </c>
      <c r="T39" s="19">
        <v>1000</v>
      </c>
      <c r="U39" s="19"/>
      <c r="V39" s="19">
        <f t="shared" si="24"/>
        <v>2640</v>
      </c>
      <c r="W39" s="26">
        <v>200</v>
      </c>
      <c r="X39" s="21">
        <v>1600</v>
      </c>
      <c r="Y39" s="21">
        <v>1000</v>
      </c>
      <c r="Z39" s="21"/>
      <c r="AA39" s="22">
        <f t="shared" si="25"/>
        <v>2800</v>
      </c>
      <c r="AB39" s="23">
        <v>170</v>
      </c>
      <c r="AC39" s="21">
        <v>1200</v>
      </c>
      <c r="AD39" s="21">
        <v>1000</v>
      </c>
      <c r="AE39" s="21"/>
      <c r="AF39" s="35">
        <f t="shared" si="26"/>
        <v>2370</v>
      </c>
      <c r="AG39" s="23"/>
      <c r="AH39" s="21">
        <v>1200</v>
      </c>
      <c r="AI39" s="21">
        <v>1000</v>
      </c>
      <c r="AJ39" s="21"/>
      <c r="AK39" s="22">
        <f t="shared" si="27"/>
        <v>2200</v>
      </c>
      <c r="AL39" s="23"/>
      <c r="AM39" s="21">
        <v>1800</v>
      </c>
      <c r="AN39" s="21">
        <v>1000</v>
      </c>
      <c r="AO39" s="21"/>
      <c r="AP39" s="22">
        <f t="shared" si="28"/>
        <v>2800</v>
      </c>
      <c r="AQ39" s="23">
        <v>190</v>
      </c>
      <c r="AR39" s="21">
        <v>1450</v>
      </c>
      <c r="AS39" s="21">
        <v>1000</v>
      </c>
      <c r="AT39" s="21"/>
      <c r="AU39" s="25">
        <f t="shared" si="29"/>
        <v>2640</v>
      </c>
      <c r="AV39" s="23"/>
      <c r="AW39" s="21">
        <v>1100</v>
      </c>
      <c r="AX39" s="21">
        <v>1250</v>
      </c>
      <c r="AY39" s="21"/>
      <c r="AZ39" s="25">
        <f t="shared" si="21"/>
        <v>2350</v>
      </c>
      <c r="BA39" s="23"/>
      <c r="BB39" s="21">
        <v>1600</v>
      </c>
      <c r="BC39" s="21">
        <v>1250</v>
      </c>
      <c r="BD39" s="21"/>
      <c r="BE39" s="25">
        <f t="shared" si="22"/>
        <v>2850</v>
      </c>
      <c r="BF39" s="23"/>
      <c r="BG39" s="21">
        <v>1350</v>
      </c>
      <c r="BH39" s="21">
        <v>1250</v>
      </c>
      <c r="BI39" s="21"/>
      <c r="BJ39" s="25">
        <f t="shared" si="30"/>
        <v>2600</v>
      </c>
      <c r="BK39" s="23"/>
      <c r="BL39" s="21">
        <v>1225</v>
      </c>
      <c r="BM39" s="21"/>
      <c r="BN39" s="21"/>
      <c r="BO39" s="25">
        <f t="shared" si="31"/>
        <v>1225</v>
      </c>
      <c r="BP39" s="23"/>
      <c r="BQ39" s="21">
        <f>750+650</f>
        <v>1400</v>
      </c>
      <c r="BR39" s="21">
        <v>7500</v>
      </c>
      <c r="BS39" s="21"/>
      <c r="BT39" s="25">
        <f t="shared" si="4"/>
        <v>8900</v>
      </c>
      <c r="BU39" s="21">
        <v>750</v>
      </c>
      <c r="BV39" s="26"/>
      <c r="BW39" s="21">
        <v>1300</v>
      </c>
      <c r="BX39" s="21">
        <v>7500</v>
      </c>
      <c r="BY39" s="21"/>
      <c r="BZ39" s="27">
        <f t="shared" si="0"/>
        <v>8800</v>
      </c>
      <c r="CA39" s="26">
        <v>150</v>
      </c>
      <c r="CB39" s="21">
        <v>750</v>
      </c>
      <c r="CC39" s="21">
        <v>7500</v>
      </c>
      <c r="CD39" s="21"/>
      <c r="CE39" s="27">
        <f t="shared" si="1"/>
        <v>8400</v>
      </c>
      <c r="CF39" s="26"/>
      <c r="CG39" s="21"/>
      <c r="CH39" s="21">
        <v>7500</v>
      </c>
      <c r="CI39" s="21"/>
      <c r="CJ39" s="27">
        <f t="shared" ref="CJ39:CJ48" si="32">SUM(CF39:CI39)</f>
        <v>7500</v>
      </c>
    </row>
    <row r="40" spans="2:88" x14ac:dyDescent="0.25">
      <c r="B40" t="s">
        <v>35</v>
      </c>
      <c r="C40" s="17">
        <v>931448000</v>
      </c>
      <c r="D40" t="s">
        <v>159</v>
      </c>
      <c r="E40" t="str">
        <f t="shared" si="3"/>
        <v>$800 Million - $2 Billion</v>
      </c>
      <c r="F40">
        <f>IF(C40="", "", COUNTIF($C$6:C40,"&gt;0"))</f>
        <v>35</v>
      </c>
      <c r="G40">
        <f>IF(E40&lt;&gt;'[1]By Asset Category'!$B$1,"",COUNTIF($E$6:E40,'[1]By Asset Category'!$B$1))</f>
        <v>10</v>
      </c>
      <c r="H40" t="s">
        <v>160</v>
      </c>
      <c r="I40" t="s">
        <v>38</v>
      </c>
      <c r="J40" t="s">
        <v>161</v>
      </c>
      <c r="K40" t="s">
        <v>162</v>
      </c>
      <c r="L40" s="33" t="s">
        <v>46</v>
      </c>
      <c r="M40" s="34">
        <v>1970</v>
      </c>
      <c r="N40" s="19">
        <v>0</v>
      </c>
      <c r="O40" s="19">
        <f>750</f>
        <v>750</v>
      </c>
      <c r="P40" s="19"/>
      <c r="Q40" s="19">
        <f t="shared" si="23"/>
        <v>2720</v>
      </c>
      <c r="R40" s="34">
        <v>2085</v>
      </c>
      <c r="S40" s="19">
        <v>0</v>
      </c>
      <c r="T40" s="19">
        <v>500</v>
      </c>
      <c r="U40" s="19"/>
      <c r="V40" s="19">
        <f t="shared" si="24"/>
        <v>2585</v>
      </c>
      <c r="W40" s="26">
        <v>2672</v>
      </c>
      <c r="X40" s="21">
        <v>500</v>
      </c>
      <c r="Y40" s="21">
        <v>500</v>
      </c>
      <c r="Z40" s="21"/>
      <c r="AA40" s="22">
        <f t="shared" si="25"/>
        <v>3672</v>
      </c>
      <c r="AB40" s="23">
        <v>2553.3999999999996</v>
      </c>
      <c r="AC40" s="21">
        <v>1200</v>
      </c>
      <c r="AD40" s="21">
        <v>500</v>
      </c>
      <c r="AE40" s="21"/>
      <c r="AF40" s="35">
        <f t="shared" si="26"/>
        <v>4253.3999999999996</v>
      </c>
      <c r="AG40" s="23">
        <v>2665</v>
      </c>
      <c r="AH40" s="21">
        <v>1400</v>
      </c>
      <c r="AI40" s="21"/>
      <c r="AJ40" s="21"/>
      <c r="AK40" s="25">
        <f t="shared" si="27"/>
        <v>4065</v>
      </c>
      <c r="AL40" s="23">
        <v>2999.9199999999996</v>
      </c>
      <c r="AM40" s="21">
        <v>1250</v>
      </c>
      <c r="AN40" s="21"/>
      <c r="AO40" s="21"/>
      <c r="AP40" s="25">
        <f t="shared" si="28"/>
        <v>4249.92</v>
      </c>
      <c r="AQ40" s="23">
        <v>2278</v>
      </c>
      <c r="AR40" s="21">
        <v>1150</v>
      </c>
      <c r="AS40" s="21"/>
      <c r="AT40" s="21"/>
      <c r="AU40" s="25">
        <f t="shared" si="29"/>
        <v>3428</v>
      </c>
      <c r="AV40" s="23">
        <v>2991</v>
      </c>
      <c r="AW40" s="21">
        <v>1600</v>
      </c>
      <c r="AX40" s="21"/>
      <c r="AY40" s="21"/>
      <c r="AZ40" s="25">
        <f t="shared" si="21"/>
        <v>4591</v>
      </c>
      <c r="BA40" s="23">
        <v>2480.1</v>
      </c>
      <c r="BB40" s="21">
        <v>1975</v>
      </c>
      <c r="BC40" s="21"/>
      <c r="BD40" s="21"/>
      <c r="BE40" s="25">
        <f t="shared" si="22"/>
        <v>4455.1000000000004</v>
      </c>
      <c r="BF40" s="23">
        <v>2497</v>
      </c>
      <c r="BG40" s="21">
        <v>900</v>
      </c>
      <c r="BH40" s="21"/>
      <c r="BI40" s="21"/>
      <c r="BJ40" s="25">
        <f>SUM(BF40:BH40)</f>
        <v>3397</v>
      </c>
      <c r="BK40" s="23">
        <v>1450</v>
      </c>
      <c r="BL40" s="21">
        <v>1200</v>
      </c>
      <c r="BM40" s="21"/>
      <c r="BN40" s="21"/>
      <c r="BO40" s="25">
        <f>SUM(BK40:BM40)</f>
        <v>2650</v>
      </c>
      <c r="BP40" s="23">
        <v>3935.72</v>
      </c>
      <c r="BQ40" s="21">
        <v>1800</v>
      </c>
      <c r="BR40" s="21"/>
      <c r="BS40" s="21"/>
      <c r="BT40" s="25">
        <f t="shared" si="4"/>
        <v>5735.7199999999993</v>
      </c>
      <c r="BU40" s="21"/>
      <c r="BV40" s="26">
        <v>3203.91</v>
      </c>
      <c r="BW40" s="21">
        <v>2950</v>
      </c>
      <c r="BX40" s="21"/>
      <c r="BY40" s="21"/>
      <c r="BZ40" s="27">
        <f t="shared" si="0"/>
        <v>6153.91</v>
      </c>
      <c r="CA40" s="26">
        <v>4747.32</v>
      </c>
      <c r="CB40" s="21">
        <v>2700</v>
      </c>
      <c r="CC40" s="21">
        <v>0</v>
      </c>
      <c r="CD40" s="21"/>
      <c r="CE40" s="27">
        <f t="shared" si="1"/>
        <v>7447.32</v>
      </c>
      <c r="CF40" s="26">
        <v>599.1</v>
      </c>
      <c r="CG40" s="21"/>
      <c r="CH40" s="21">
        <v>0</v>
      </c>
      <c r="CI40" s="21"/>
      <c r="CJ40" s="27">
        <f t="shared" si="32"/>
        <v>599.1</v>
      </c>
    </row>
    <row r="41" spans="2:88" x14ac:dyDescent="0.25">
      <c r="B41" t="s">
        <v>53</v>
      </c>
      <c r="C41" s="17">
        <v>319400000</v>
      </c>
      <c r="D41" t="s">
        <v>163</v>
      </c>
      <c r="E41" t="str">
        <f t="shared" si="3"/>
        <v>Less than $350 Million</v>
      </c>
      <c r="F41">
        <f>IF(C41="", "", COUNTIF($C$6:C41,"&gt;0"))</f>
        <v>36</v>
      </c>
      <c r="G41" t="str">
        <f>IF(E41&lt;&gt;'[1]By Asset Category'!$B$1,"",COUNTIF($E$6:E41,'[1]By Asset Category'!$B$1))</f>
        <v/>
      </c>
      <c r="H41" t="s">
        <v>164</v>
      </c>
      <c r="I41" t="s">
        <v>38</v>
      </c>
      <c r="J41" t="s">
        <v>165</v>
      </c>
      <c r="K41" t="s">
        <v>166</v>
      </c>
      <c r="L41" s="33"/>
      <c r="M41" s="34">
        <v>0</v>
      </c>
      <c r="N41" s="19">
        <v>0</v>
      </c>
      <c r="O41" s="19">
        <v>0</v>
      </c>
      <c r="P41" s="19">
        <v>0</v>
      </c>
      <c r="Q41" s="19">
        <f t="shared" si="23"/>
        <v>0</v>
      </c>
      <c r="R41" s="34">
        <v>0</v>
      </c>
      <c r="S41" s="19">
        <v>0</v>
      </c>
      <c r="T41" s="19">
        <v>0</v>
      </c>
      <c r="U41" s="19">
        <v>0</v>
      </c>
      <c r="V41" s="19">
        <f t="shared" si="24"/>
        <v>0</v>
      </c>
      <c r="W41" s="26">
        <v>0</v>
      </c>
      <c r="X41" s="21">
        <v>0</v>
      </c>
      <c r="Y41" s="21">
        <v>250</v>
      </c>
      <c r="Z41" s="21"/>
      <c r="AA41" s="22">
        <f t="shared" si="25"/>
        <v>250</v>
      </c>
      <c r="AB41" s="23">
        <v>250</v>
      </c>
      <c r="AC41" s="21"/>
      <c r="AD41" s="21">
        <v>500</v>
      </c>
      <c r="AE41" s="21"/>
      <c r="AF41" s="35">
        <f t="shared" si="26"/>
        <v>750</v>
      </c>
      <c r="AG41" s="23"/>
      <c r="AH41" s="21"/>
      <c r="AI41" s="21">
        <v>750</v>
      </c>
      <c r="AJ41" s="21"/>
      <c r="AK41" s="22">
        <f t="shared" si="27"/>
        <v>750</v>
      </c>
      <c r="AL41" s="23">
        <v>250</v>
      </c>
      <c r="AM41" s="21"/>
      <c r="AN41" s="21">
        <v>500</v>
      </c>
      <c r="AO41" s="21"/>
      <c r="AP41" s="22">
        <f t="shared" si="28"/>
        <v>750</v>
      </c>
      <c r="AQ41" s="23">
        <v>500</v>
      </c>
      <c r="AR41" s="21"/>
      <c r="AS41" s="21">
        <v>500</v>
      </c>
      <c r="AT41" s="21"/>
      <c r="AU41" s="25">
        <f t="shared" si="29"/>
        <v>1000</v>
      </c>
      <c r="AV41" s="23"/>
      <c r="AW41" s="21"/>
      <c r="AX41" s="21">
        <v>1000</v>
      </c>
      <c r="AY41" s="21"/>
      <c r="AZ41" s="25">
        <f t="shared" si="21"/>
        <v>1000</v>
      </c>
      <c r="BA41" s="23"/>
      <c r="BB41" s="21"/>
      <c r="BC41" s="21">
        <v>1000</v>
      </c>
      <c r="BD41" s="21"/>
      <c r="BE41" s="25">
        <f t="shared" si="22"/>
        <v>1000</v>
      </c>
      <c r="BF41" s="23"/>
      <c r="BG41" s="21"/>
      <c r="BH41" s="21"/>
      <c r="BI41" s="21"/>
      <c r="BJ41" s="25">
        <f>SUM(BF41:BI41)</f>
        <v>0</v>
      </c>
      <c r="BK41" s="23"/>
      <c r="BL41" s="21"/>
      <c r="BM41" s="21"/>
      <c r="BN41" s="21"/>
      <c r="BO41" s="25">
        <f>SUM(BK41:BN41)</f>
        <v>0</v>
      </c>
      <c r="BP41" s="23"/>
      <c r="BQ41" s="21"/>
      <c r="BR41" s="21"/>
      <c r="BS41" s="21"/>
      <c r="BT41" s="25">
        <f t="shared" si="4"/>
        <v>0</v>
      </c>
      <c r="BU41" s="21"/>
      <c r="BV41" s="26"/>
      <c r="BW41" s="21"/>
      <c r="BX41" s="21"/>
      <c r="BY41" s="21"/>
      <c r="BZ41" s="27">
        <f t="shared" si="0"/>
        <v>0</v>
      </c>
      <c r="CA41" s="26"/>
      <c r="CB41" s="21"/>
      <c r="CC41" s="21"/>
      <c r="CD41" s="21"/>
      <c r="CE41" s="27">
        <f t="shared" si="1"/>
        <v>0</v>
      </c>
      <c r="CF41" s="26"/>
      <c r="CG41" s="21"/>
      <c r="CH41" s="21"/>
      <c r="CI41" s="21"/>
      <c r="CJ41" s="27">
        <f t="shared" si="32"/>
        <v>0</v>
      </c>
    </row>
    <row r="42" spans="2:88" x14ac:dyDescent="0.25">
      <c r="B42" t="s">
        <v>53</v>
      </c>
      <c r="C42" s="17">
        <v>946806000</v>
      </c>
      <c r="D42" t="s">
        <v>167</v>
      </c>
      <c r="E42" t="str">
        <f t="shared" si="3"/>
        <v>$800 Million - $2 Billion</v>
      </c>
      <c r="F42">
        <f>IF(C42="", "", COUNTIF($C$6:C42,"&gt;0"))</f>
        <v>37</v>
      </c>
      <c r="G42">
        <f>IF(E42&lt;&gt;'[1]By Asset Category'!$B$1,"",COUNTIF($E$6:E42,'[1]By Asset Category'!$B$1))</f>
        <v>11</v>
      </c>
      <c r="H42" t="s">
        <v>168</v>
      </c>
      <c r="I42" t="s">
        <v>3</v>
      </c>
      <c r="J42" t="s">
        <v>3</v>
      </c>
      <c r="K42" t="s">
        <v>3</v>
      </c>
      <c r="L42" s="33"/>
      <c r="M42" s="34">
        <v>0</v>
      </c>
      <c r="N42" s="19">
        <v>0</v>
      </c>
      <c r="O42" s="19">
        <v>0</v>
      </c>
      <c r="P42" s="19">
        <v>0</v>
      </c>
      <c r="Q42" s="19">
        <f t="shared" si="23"/>
        <v>0</v>
      </c>
      <c r="R42" s="34">
        <v>0</v>
      </c>
      <c r="S42" s="19">
        <v>0</v>
      </c>
      <c r="T42" s="19">
        <v>0</v>
      </c>
      <c r="U42" s="19">
        <v>0</v>
      </c>
      <c r="V42" s="19">
        <f t="shared" si="24"/>
        <v>0</v>
      </c>
      <c r="W42" s="26">
        <v>0</v>
      </c>
      <c r="X42" s="21">
        <v>0</v>
      </c>
      <c r="Y42" s="21">
        <v>0</v>
      </c>
      <c r="Z42" s="21"/>
      <c r="AA42" s="22">
        <f t="shared" si="25"/>
        <v>0</v>
      </c>
      <c r="AB42" s="23"/>
      <c r="AC42" s="21"/>
      <c r="AD42" s="21"/>
      <c r="AE42" s="21"/>
      <c r="AF42" s="35">
        <f t="shared" si="26"/>
        <v>0</v>
      </c>
      <c r="AG42" s="23"/>
      <c r="AH42" s="21"/>
      <c r="AI42" s="21"/>
      <c r="AJ42" s="21"/>
      <c r="AK42" s="22">
        <f t="shared" si="27"/>
        <v>0</v>
      </c>
      <c r="AL42" s="23"/>
      <c r="AM42" s="21"/>
      <c r="AN42" s="21"/>
      <c r="AO42" s="21"/>
      <c r="AP42" s="22">
        <f t="shared" si="28"/>
        <v>0</v>
      </c>
      <c r="AQ42" s="23"/>
      <c r="AR42" s="21"/>
      <c r="AS42" s="21"/>
      <c r="AT42" s="21"/>
      <c r="AU42" s="25">
        <f t="shared" si="29"/>
        <v>0</v>
      </c>
      <c r="AV42" s="23"/>
      <c r="AW42" s="21"/>
      <c r="AX42" s="21"/>
      <c r="AY42" s="21"/>
      <c r="AZ42" s="25">
        <f t="shared" si="21"/>
        <v>0</v>
      </c>
      <c r="BA42" s="23"/>
      <c r="BB42" s="21"/>
      <c r="BC42" s="21"/>
      <c r="BD42" s="21"/>
      <c r="BE42" s="25">
        <f t="shared" si="22"/>
        <v>0</v>
      </c>
      <c r="BF42" s="23"/>
      <c r="BG42" s="21"/>
      <c r="BH42" s="21"/>
      <c r="BI42" s="21"/>
      <c r="BJ42" s="25">
        <f>SUM(BF42:BI42)</f>
        <v>0</v>
      </c>
      <c r="BK42" s="23"/>
      <c r="BL42" s="21"/>
      <c r="BM42" s="21"/>
      <c r="BN42" s="21"/>
      <c r="BO42" s="25">
        <f>SUM(BK42:BN42)</f>
        <v>0</v>
      </c>
      <c r="BP42" s="23"/>
      <c r="BQ42" s="21"/>
      <c r="BR42" s="21"/>
      <c r="BS42" s="21"/>
      <c r="BT42" s="25">
        <f t="shared" si="4"/>
        <v>0</v>
      </c>
      <c r="BU42" s="21"/>
      <c r="BV42" s="26"/>
      <c r="BW42" s="21"/>
      <c r="BX42" s="21"/>
      <c r="BY42" s="21"/>
      <c r="BZ42" s="27">
        <f t="shared" si="0"/>
        <v>0</v>
      </c>
      <c r="CA42" s="26"/>
      <c r="CB42" s="21"/>
      <c r="CC42" s="21"/>
      <c r="CD42" s="21"/>
      <c r="CE42" s="27">
        <f t="shared" si="1"/>
        <v>0</v>
      </c>
      <c r="CF42" s="26"/>
      <c r="CG42" s="21"/>
      <c r="CH42" s="21"/>
      <c r="CI42" s="21"/>
      <c r="CJ42" s="27">
        <f t="shared" si="32"/>
        <v>0</v>
      </c>
    </row>
    <row r="43" spans="2:88" x14ac:dyDescent="0.25">
      <c r="B43" t="s">
        <v>58</v>
      </c>
      <c r="C43" s="17">
        <v>837070000</v>
      </c>
      <c r="D43" t="s">
        <v>169</v>
      </c>
      <c r="E43" t="str">
        <f t="shared" si="3"/>
        <v>$800 Million - $2 Billion</v>
      </c>
      <c r="F43">
        <f>IF(C43="", "", COUNTIF($C$6:C43,"&gt;0"))</f>
        <v>38</v>
      </c>
      <c r="G43">
        <f>IF(E43&lt;&gt;'[1]By Asset Category'!$B$1,"",COUNTIF($E$6:E43,'[1]By Asset Category'!$B$1))</f>
        <v>12</v>
      </c>
      <c r="H43" t="s">
        <v>170</v>
      </c>
      <c r="I43" t="s">
        <v>3</v>
      </c>
      <c r="J43" t="s">
        <v>3</v>
      </c>
      <c r="K43" t="s">
        <v>3</v>
      </c>
      <c r="L43" s="33" t="s">
        <v>3</v>
      </c>
      <c r="M43" s="34">
        <v>800</v>
      </c>
      <c r="N43" s="19">
        <v>600</v>
      </c>
      <c r="O43" s="19">
        <v>250</v>
      </c>
      <c r="P43" s="19"/>
      <c r="Q43" s="19">
        <f t="shared" si="23"/>
        <v>1650</v>
      </c>
      <c r="R43" s="34">
        <v>550</v>
      </c>
      <c r="S43" s="19">
        <v>350</v>
      </c>
      <c r="T43" s="19">
        <v>0</v>
      </c>
      <c r="U43" s="19"/>
      <c r="V43" s="19">
        <f t="shared" si="24"/>
        <v>900</v>
      </c>
      <c r="W43" s="26">
        <v>925</v>
      </c>
      <c r="X43" s="21">
        <v>100</v>
      </c>
      <c r="Y43" s="21">
        <v>0</v>
      </c>
      <c r="Z43" s="21"/>
      <c r="AA43" s="22">
        <f t="shared" si="25"/>
        <v>1025</v>
      </c>
      <c r="AB43" s="23">
        <v>500</v>
      </c>
      <c r="AC43" s="21">
        <v>800</v>
      </c>
      <c r="AD43" s="21"/>
      <c r="AE43" s="21"/>
      <c r="AF43" s="35">
        <f t="shared" si="26"/>
        <v>1300</v>
      </c>
      <c r="AG43" s="23">
        <v>1150</v>
      </c>
      <c r="AH43" s="21">
        <v>750</v>
      </c>
      <c r="AI43" s="21"/>
      <c r="AJ43" s="21"/>
      <c r="AK43" s="22">
        <f t="shared" si="27"/>
        <v>1900</v>
      </c>
      <c r="AL43" s="23">
        <v>1195</v>
      </c>
      <c r="AM43" s="21">
        <v>1600</v>
      </c>
      <c r="AN43" s="21"/>
      <c r="AO43" s="21"/>
      <c r="AP43" s="22">
        <f t="shared" si="28"/>
        <v>2795</v>
      </c>
      <c r="AQ43" s="23">
        <v>1185</v>
      </c>
      <c r="AR43" s="21">
        <v>1115</v>
      </c>
      <c r="AS43" s="21"/>
      <c r="AT43" s="21"/>
      <c r="AU43" s="25">
        <f t="shared" si="29"/>
        <v>2300</v>
      </c>
      <c r="AV43" s="23">
        <v>2451</v>
      </c>
      <c r="AW43" s="21">
        <v>1850</v>
      </c>
      <c r="AX43" s="21">
        <v>1000</v>
      </c>
      <c r="AY43" s="21"/>
      <c r="AZ43" s="25">
        <f t="shared" si="21"/>
        <v>5301</v>
      </c>
      <c r="BA43" s="23">
        <v>3525</v>
      </c>
      <c r="BB43" s="21">
        <v>1400</v>
      </c>
      <c r="BC43" s="21">
        <v>1500</v>
      </c>
      <c r="BD43" s="21"/>
      <c r="BE43" s="25">
        <f t="shared" si="22"/>
        <v>6425</v>
      </c>
      <c r="BF43" s="23">
        <v>2200</v>
      </c>
      <c r="BG43" s="21">
        <v>1750</v>
      </c>
      <c r="BH43" s="21">
        <v>3000</v>
      </c>
      <c r="BI43" s="21"/>
      <c r="BJ43" s="25">
        <f>SUM(BF43:BI43)</f>
        <v>6950</v>
      </c>
      <c r="BK43" s="23">
        <v>800</v>
      </c>
      <c r="BL43" s="21">
        <v>1883.55</v>
      </c>
      <c r="BM43" s="21"/>
      <c r="BN43" s="21"/>
      <c r="BO43" s="25">
        <f>SUM(BK43:BN43)</f>
        <v>2683.55</v>
      </c>
      <c r="BP43" s="23"/>
      <c r="BQ43" s="21"/>
      <c r="BR43" s="21"/>
      <c r="BS43" s="21"/>
      <c r="BT43" s="25">
        <f t="shared" si="4"/>
        <v>0</v>
      </c>
      <c r="BU43" s="21"/>
      <c r="BV43" s="26">
        <v>2725</v>
      </c>
      <c r="BW43" s="21">
        <v>4500</v>
      </c>
      <c r="BX43" s="21">
        <v>2500</v>
      </c>
      <c r="BY43" s="21"/>
      <c r="BZ43" s="27">
        <f t="shared" si="0"/>
        <v>9725</v>
      </c>
      <c r="CA43" s="26">
        <v>1851</v>
      </c>
      <c r="CB43" s="21">
        <v>3500</v>
      </c>
      <c r="CC43" s="21">
        <v>2500</v>
      </c>
      <c r="CD43" s="21"/>
      <c r="CE43" s="27">
        <f t="shared" si="1"/>
        <v>7851</v>
      </c>
      <c r="CF43" s="26"/>
      <c r="CG43" s="21"/>
      <c r="CH43" s="21"/>
      <c r="CI43" s="21">
        <v>5000</v>
      </c>
      <c r="CJ43" s="27">
        <f t="shared" si="32"/>
        <v>5000</v>
      </c>
    </row>
    <row r="44" spans="2:88" x14ac:dyDescent="0.25">
      <c r="B44" t="s">
        <v>35</v>
      </c>
      <c r="C44" s="17">
        <v>142523000</v>
      </c>
      <c r="D44" t="s">
        <v>171</v>
      </c>
      <c r="E44" t="str">
        <f t="shared" si="3"/>
        <v>Less than $350 Million</v>
      </c>
      <c r="F44">
        <f>IF(C44="", "", COUNTIF($C$6:C44,"&gt;0"))</f>
        <v>39</v>
      </c>
      <c r="G44" t="str">
        <f>IF(E44&lt;&gt;'[1]By Asset Category'!$B$1,"",COUNTIF($E$6:E44,'[1]By Asset Category'!$B$1))</f>
        <v/>
      </c>
      <c r="H44" t="s">
        <v>172</v>
      </c>
      <c r="I44" t="s">
        <v>38</v>
      </c>
      <c r="J44" t="s">
        <v>173</v>
      </c>
      <c r="K44" t="s">
        <v>174</v>
      </c>
      <c r="L44" s="33" t="s">
        <v>3</v>
      </c>
      <c r="M44" s="19">
        <v>150</v>
      </c>
      <c r="N44" s="19">
        <v>0</v>
      </c>
      <c r="O44" s="19">
        <v>250</v>
      </c>
      <c r="P44" s="19"/>
      <c r="Q44" s="19">
        <f t="shared" si="23"/>
        <v>400</v>
      </c>
      <c r="R44" s="19">
        <v>0</v>
      </c>
      <c r="S44" s="19">
        <v>0</v>
      </c>
      <c r="T44" s="19">
        <v>0</v>
      </c>
      <c r="U44" s="19"/>
      <c r="V44" s="19">
        <f t="shared" si="24"/>
        <v>0</v>
      </c>
      <c r="W44" s="21">
        <v>200</v>
      </c>
      <c r="X44" s="21">
        <v>200</v>
      </c>
      <c r="Y44" s="21">
        <v>250</v>
      </c>
      <c r="Z44" s="21"/>
      <c r="AA44" s="22">
        <f t="shared" si="25"/>
        <v>650</v>
      </c>
      <c r="AB44" s="23">
        <v>125</v>
      </c>
      <c r="AC44" s="21">
        <v>150</v>
      </c>
      <c r="AD44" s="21">
        <v>250</v>
      </c>
      <c r="AE44" s="21"/>
      <c r="AF44" s="24">
        <f t="shared" si="26"/>
        <v>525</v>
      </c>
      <c r="AG44" s="23">
        <v>335</v>
      </c>
      <c r="AH44" s="21">
        <v>150</v>
      </c>
      <c r="AI44" s="21">
        <v>250</v>
      </c>
      <c r="AJ44" s="21"/>
      <c r="AK44" s="25">
        <f t="shared" si="27"/>
        <v>735</v>
      </c>
      <c r="AL44" s="23">
        <v>100</v>
      </c>
      <c r="AM44" s="21">
        <v>50</v>
      </c>
      <c r="AN44" s="21">
        <v>250</v>
      </c>
      <c r="AO44" s="21"/>
      <c r="AP44" s="25">
        <f t="shared" si="28"/>
        <v>400</v>
      </c>
      <c r="AQ44" s="23">
        <v>100</v>
      </c>
      <c r="AR44" s="21">
        <v>100</v>
      </c>
      <c r="AS44" s="21">
        <v>250</v>
      </c>
      <c r="AT44" s="21"/>
      <c r="AU44" s="25">
        <f t="shared" si="29"/>
        <v>450</v>
      </c>
      <c r="AV44" s="23"/>
      <c r="AW44" s="21"/>
      <c r="AX44" s="21">
        <v>250</v>
      </c>
      <c r="AY44" s="21"/>
      <c r="AZ44" s="25">
        <f t="shared" si="21"/>
        <v>250</v>
      </c>
      <c r="BA44" s="23"/>
      <c r="BB44" s="21"/>
      <c r="BC44" s="21">
        <v>250</v>
      </c>
      <c r="BD44" s="21"/>
      <c r="BE44" s="25">
        <f t="shared" si="22"/>
        <v>250</v>
      </c>
      <c r="BF44" s="23"/>
      <c r="BG44" s="21">
        <v>100</v>
      </c>
      <c r="BH44" s="21">
        <v>250</v>
      </c>
      <c r="BI44" s="21"/>
      <c r="BJ44" s="25">
        <f>SUM(BF44:BH44)</f>
        <v>350</v>
      </c>
      <c r="BK44" s="23"/>
      <c r="BL44" s="21"/>
      <c r="BM44" s="21"/>
      <c r="BN44" s="21"/>
      <c r="BO44" s="25">
        <f>SUM(BK44:BM44)</f>
        <v>0</v>
      </c>
      <c r="BP44" s="23">
        <v>100</v>
      </c>
      <c r="BQ44" s="21"/>
      <c r="BR44" s="21">
        <v>100</v>
      </c>
      <c r="BS44" s="21"/>
      <c r="BT44" s="25">
        <f t="shared" si="4"/>
        <v>200</v>
      </c>
      <c r="BU44" s="21"/>
      <c r="BV44" s="26"/>
      <c r="BW44" s="21"/>
      <c r="BX44" s="21">
        <v>250</v>
      </c>
      <c r="BY44" s="21"/>
      <c r="BZ44" s="27">
        <f t="shared" si="0"/>
        <v>250</v>
      </c>
      <c r="CA44" s="26"/>
      <c r="CB44" s="21"/>
      <c r="CC44" s="21"/>
      <c r="CD44" s="21"/>
      <c r="CE44" s="27">
        <f t="shared" si="1"/>
        <v>0</v>
      </c>
      <c r="CF44" s="26"/>
      <c r="CG44" s="21"/>
      <c r="CH44" s="21"/>
      <c r="CI44" s="21"/>
      <c r="CJ44" s="27">
        <f t="shared" si="32"/>
        <v>0</v>
      </c>
    </row>
    <row r="45" spans="2:88" x14ac:dyDescent="0.25">
      <c r="B45" t="s">
        <v>47</v>
      </c>
      <c r="C45" s="17">
        <v>25922789000</v>
      </c>
      <c r="D45" t="s">
        <v>175</v>
      </c>
      <c r="E45" t="str">
        <f t="shared" si="3"/>
        <v>Over $10 Billion</v>
      </c>
      <c r="F45">
        <f>IF(C45="", "", COUNTIF($C$6:C45,"&gt;0"))</f>
        <v>40</v>
      </c>
      <c r="G45" t="str">
        <f>IF(E45&lt;&gt;'[1]By Asset Category'!$B$1,"",COUNTIF($E$6:E45,'[1]By Asset Category'!$B$1))</f>
        <v/>
      </c>
      <c r="H45" t="s">
        <v>176</v>
      </c>
      <c r="I45" t="s">
        <v>3</v>
      </c>
      <c r="J45" t="s">
        <v>3</v>
      </c>
      <c r="K45" t="s">
        <v>3</v>
      </c>
      <c r="L45" s="33"/>
      <c r="M45" s="34">
        <v>0</v>
      </c>
      <c r="N45" s="19">
        <v>0</v>
      </c>
      <c r="O45" s="19">
        <v>0</v>
      </c>
      <c r="P45" s="19"/>
      <c r="Q45" s="19">
        <f t="shared" si="23"/>
        <v>0</v>
      </c>
      <c r="R45" s="34">
        <v>0</v>
      </c>
      <c r="S45" s="19">
        <v>0</v>
      </c>
      <c r="T45" s="19">
        <v>2500</v>
      </c>
      <c r="U45" s="19"/>
      <c r="V45" s="19">
        <f t="shared" si="24"/>
        <v>2500</v>
      </c>
      <c r="W45" s="26">
        <v>20</v>
      </c>
      <c r="X45" s="21">
        <v>0</v>
      </c>
      <c r="Y45" s="21">
        <v>2500</v>
      </c>
      <c r="Z45" s="21"/>
      <c r="AA45" s="22">
        <f t="shared" si="25"/>
        <v>2520</v>
      </c>
      <c r="AB45" s="23"/>
      <c r="AC45" s="21"/>
      <c r="AD45" s="21"/>
      <c r="AE45" s="21">
        <v>2500</v>
      </c>
      <c r="AF45" s="35">
        <f t="shared" si="26"/>
        <v>2500</v>
      </c>
      <c r="AG45" s="23">
        <v>770</v>
      </c>
      <c r="AH45" s="21"/>
      <c r="AI45" s="21"/>
      <c r="AJ45" s="21">
        <v>2500</v>
      </c>
      <c r="AK45" s="22">
        <f t="shared" si="27"/>
        <v>3270</v>
      </c>
      <c r="AL45" s="23">
        <v>900</v>
      </c>
      <c r="AM45" s="21"/>
      <c r="AN45" s="21"/>
      <c r="AO45" s="21">
        <v>2500</v>
      </c>
      <c r="AP45" s="22">
        <f t="shared" si="28"/>
        <v>3400</v>
      </c>
      <c r="AQ45" s="23"/>
      <c r="AR45" s="21"/>
      <c r="AS45" s="21"/>
      <c r="AT45" s="21">
        <v>3500</v>
      </c>
      <c r="AU45" s="25">
        <f t="shared" si="29"/>
        <v>3500</v>
      </c>
      <c r="AV45" s="23"/>
      <c r="AW45" s="21"/>
      <c r="AX45" s="21"/>
      <c r="AY45" s="21">
        <v>3500</v>
      </c>
      <c r="AZ45" s="25">
        <f t="shared" si="21"/>
        <v>3500</v>
      </c>
      <c r="BA45" s="23"/>
      <c r="BB45" s="21"/>
      <c r="BC45" s="21"/>
      <c r="BD45" s="21">
        <v>5000</v>
      </c>
      <c r="BE45" s="25">
        <f t="shared" si="22"/>
        <v>5000</v>
      </c>
      <c r="BF45" s="23"/>
      <c r="BG45" s="21"/>
      <c r="BH45" s="21"/>
      <c r="BI45" s="21">
        <v>5000</v>
      </c>
      <c r="BJ45" s="25"/>
      <c r="BK45" s="23"/>
      <c r="BL45" s="21"/>
      <c r="BM45" s="21"/>
      <c r="BN45" s="21">
        <v>5000</v>
      </c>
      <c r="BO45" s="25"/>
      <c r="BP45" s="23"/>
      <c r="BQ45" s="21"/>
      <c r="BR45" s="21"/>
      <c r="BS45" s="21">
        <v>5000</v>
      </c>
      <c r="BT45" s="25">
        <f t="shared" si="4"/>
        <v>5000</v>
      </c>
      <c r="BU45" s="21"/>
      <c r="BV45" s="26"/>
      <c r="BW45" s="21"/>
      <c r="BX45" s="21"/>
      <c r="BY45" s="21">
        <v>5000</v>
      </c>
      <c r="BZ45" s="27">
        <f t="shared" si="0"/>
        <v>5000</v>
      </c>
      <c r="CA45" s="26"/>
      <c r="CB45" s="21"/>
      <c r="CC45" s="21">
        <v>5000</v>
      </c>
      <c r="CD45" s="21"/>
      <c r="CE45" s="27">
        <f t="shared" si="1"/>
        <v>5000</v>
      </c>
      <c r="CF45" s="26"/>
      <c r="CG45" s="21"/>
      <c r="CH45" s="21">
        <v>5000</v>
      </c>
      <c r="CI45" s="21"/>
      <c r="CJ45" s="27">
        <f t="shared" si="32"/>
        <v>5000</v>
      </c>
    </row>
    <row r="46" spans="2:88" x14ac:dyDescent="0.25">
      <c r="B46" t="s">
        <v>58</v>
      </c>
      <c r="C46" s="17">
        <v>1971048000</v>
      </c>
      <c r="D46" t="s">
        <v>177</v>
      </c>
      <c r="E46" t="str">
        <f t="shared" si="3"/>
        <v>$800 Million - $2 Billion</v>
      </c>
      <c r="F46">
        <f>IF(C46="", "", COUNTIF($C$6:C46,"&gt;0"))</f>
        <v>41</v>
      </c>
      <c r="G46">
        <f>IF(E46&lt;&gt;'[1]By Asset Category'!$B$1,"",COUNTIF($E$6:E46,'[1]By Asset Category'!$B$1))</f>
        <v>13</v>
      </c>
      <c r="H46" t="s">
        <v>178</v>
      </c>
      <c r="I46" t="s">
        <v>100</v>
      </c>
      <c r="J46" t="s">
        <v>179</v>
      </c>
      <c r="K46" t="s">
        <v>180</v>
      </c>
      <c r="L46" s="33" t="s">
        <v>3</v>
      </c>
      <c r="M46" s="34">
        <v>0</v>
      </c>
      <c r="N46" s="19">
        <v>0</v>
      </c>
      <c r="O46" s="19">
        <v>0</v>
      </c>
      <c r="P46" s="19">
        <v>0</v>
      </c>
      <c r="Q46" s="19">
        <f t="shared" si="23"/>
        <v>0</v>
      </c>
      <c r="R46" s="34">
        <v>0</v>
      </c>
      <c r="S46" s="19">
        <v>0</v>
      </c>
      <c r="T46" s="19">
        <v>0</v>
      </c>
      <c r="U46" s="19">
        <v>0</v>
      </c>
      <c r="V46" s="19">
        <f t="shared" si="24"/>
        <v>0</v>
      </c>
      <c r="W46" s="26">
        <v>0</v>
      </c>
      <c r="X46" s="21">
        <v>0</v>
      </c>
      <c r="Y46" s="21">
        <v>0</v>
      </c>
      <c r="Z46" s="21"/>
      <c r="AA46" s="22">
        <f t="shared" si="25"/>
        <v>0</v>
      </c>
      <c r="AB46" s="23"/>
      <c r="AC46" s="21"/>
      <c r="AD46" s="21"/>
      <c r="AE46" s="21"/>
      <c r="AF46" s="35">
        <f t="shared" si="26"/>
        <v>0</v>
      </c>
      <c r="AG46" s="23"/>
      <c r="AH46" s="21"/>
      <c r="AI46" s="21"/>
      <c r="AJ46" s="21"/>
      <c r="AK46" s="22">
        <f t="shared" si="27"/>
        <v>0</v>
      </c>
      <c r="AL46" s="23">
        <v>200</v>
      </c>
      <c r="AM46" s="21">
        <v>200</v>
      </c>
      <c r="AN46" s="21">
        <v>600</v>
      </c>
      <c r="AO46" s="21"/>
      <c r="AP46" s="22">
        <f t="shared" si="28"/>
        <v>1000</v>
      </c>
      <c r="AQ46" s="23"/>
      <c r="AR46" s="21"/>
      <c r="AS46" s="21"/>
      <c r="AT46" s="21"/>
      <c r="AU46" s="25">
        <f t="shared" si="29"/>
        <v>0</v>
      </c>
      <c r="AV46" s="23"/>
      <c r="AW46" s="21"/>
      <c r="AX46" s="21"/>
      <c r="AY46" s="21"/>
      <c r="AZ46" s="25">
        <f t="shared" si="21"/>
        <v>0</v>
      </c>
      <c r="BA46" s="23">
        <v>190</v>
      </c>
      <c r="BB46" s="21"/>
      <c r="BC46" s="21"/>
      <c r="BD46" s="21"/>
      <c r="BE46" s="25">
        <f t="shared" si="22"/>
        <v>190</v>
      </c>
      <c r="BF46" s="23"/>
      <c r="BG46" s="21"/>
      <c r="BH46" s="21"/>
      <c r="BI46" s="21"/>
      <c r="BJ46" s="25">
        <f>SUM(BF46:BI46)</f>
        <v>0</v>
      </c>
      <c r="BK46" s="23"/>
      <c r="BL46" s="21"/>
      <c r="BM46" s="21"/>
      <c r="BN46" s="21"/>
      <c r="BO46" s="25">
        <f>SUM(BK46:BN46)</f>
        <v>0</v>
      </c>
      <c r="BP46" s="23"/>
      <c r="BQ46" s="21"/>
      <c r="BR46" s="21"/>
      <c r="BS46" s="21"/>
      <c r="BT46" s="25">
        <f t="shared" si="4"/>
        <v>0</v>
      </c>
      <c r="BU46" s="21"/>
      <c r="BV46" s="26"/>
      <c r="BW46" s="21"/>
      <c r="BX46" s="21"/>
      <c r="BY46" s="21"/>
      <c r="BZ46" s="27">
        <f t="shared" si="0"/>
        <v>0</v>
      </c>
      <c r="CA46" s="26"/>
      <c r="CB46" s="21"/>
      <c r="CC46" s="21"/>
      <c r="CD46" s="21"/>
      <c r="CE46" s="27">
        <f t="shared" si="1"/>
        <v>0</v>
      </c>
      <c r="CF46" s="26"/>
      <c r="CG46" s="21"/>
      <c r="CH46" s="21"/>
      <c r="CI46" s="21"/>
      <c r="CJ46" s="27">
        <f t="shared" si="32"/>
        <v>0</v>
      </c>
    </row>
    <row r="47" spans="2:88" x14ac:dyDescent="0.25">
      <c r="B47" t="s">
        <v>35</v>
      </c>
      <c r="C47" s="17">
        <v>181686000</v>
      </c>
      <c r="D47" t="s">
        <v>181</v>
      </c>
      <c r="E47" t="str">
        <f t="shared" si="3"/>
        <v>Less than $350 Million</v>
      </c>
      <c r="F47">
        <f>IF(C47="", "", COUNTIF($C$6:C47,"&gt;0"))</f>
        <v>42</v>
      </c>
      <c r="G47" t="str">
        <f>IF(E47&lt;&gt;'[1]By Asset Category'!$B$1,"",COUNTIF($E$6:E47,'[1]By Asset Category'!$B$1))</f>
        <v/>
      </c>
      <c r="H47" t="s">
        <v>182</v>
      </c>
      <c r="I47" t="s">
        <v>38</v>
      </c>
      <c r="J47" t="s">
        <v>183</v>
      </c>
      <c r="K47" t="s">
        <v>184</v>
      </c>
      <c r="L47" s="33"/>
      <c r="M47" s="34">
        <v>0</v>
      </c>
      <c r="N47" s="19">
        <v>200</v>
      </c>
      <c r="O47" s="19">
        <v>300</v>
      </c>
      <c r="P47" s="19"/>
      <c r="Q47" s="19">
        <f t="shared" si="23"/>
        <v>500</v>
      </c>
      <c r="R47" s="34">
        <v>75</v>
      </c>
      <c r="S47" s="19">
        <v>300</v>
      </c>
      <c r="T47" s="19">
        <v>250</v>
      </c>
      <c r="U47" s="19"/>
      <c r="V47" s="19">
        <f t="shared" si="24"/>
        <v>625</v>
      </c>
      <c r="W47" s="26">
        <v>100</v>
      </c>
      <c r="X47" s="21">
        <v>475</v>
      </c>
      <c r="Y47" s="21">
        <v>1000</v>
      </c>
      <c r="Z47" s="21"/>
      <c r="AA47" s="22">
        <f t="shared" si="25"/>
        <v>1575</v>
      </c>
      <c r="AB47" s="23"/>
      <c r="AC47" s="21">
        <v>200</v>
      </c>
      <c r="AD47" s="21">
        <v>2000</v>
      </c>
      <c r="AE47" s="21"/>
      <c r="AF47" s="35">
        <f t="shared" si="26"/>
        <v>2200</v>
      </c>
      <c r="AG47" s="23">
        <v>50</v>
      </c>
      <c r="AH47" s="21">
        <v>250</v>
      </c>
      <c r="AI47" s="21">
        <v>1500</v>
      </c>
      <c r="AJ47" s="21"/>
      <c r="AK47" s="22">
        <f t="shared" si="27"/>
        <v>1800</v>
      </c>
      <c r="AL47" s="23"/>
      <c r="AM47" s="21"/>
      <c r="AN47" s="21"/>
      <c r="AO47" s="21"/>
      <c r="AP47" s="22">
        <f t="shared" si="28"/>
        <v>0</v>
      </c>
      <c r="AQ47" s="23"/>
      <c r="AR47" s="21"/>
      <c r="AS47" s="21">
        <v>1000</v>
      </c>
      <c r="AT47" s="21"/>
      <c r="AU47" s="25">
        <f t="shared" si="29"/>
        <v>1000</v>
      </c>
      <c r="AV47" s="23"/>
      <c r="AW47" s="21"/>
      <c r="AX47" s="21">
        <v>1000</v>
      </c>
      <c r="AY47" s="21"/>
      <c r="AZ47" s="25">
        <f t="shared" si="21"/>
        <v>1000</v>
      </c>
      <c r="BA47" s="23"/>
      <c r="BB47" s="21"/>
      <c r="BC47" s="21"/>
      <c r="BD47" s="21"/>
      <c r="BE47" s="25">
        <f t="shared" si="22"/>
        <v>0</v>
      </c>
      <c r="BF47" s="23"/>
      <c r="BG47" s="21"/>
      <c r="BH47" s="21"/>
      <c r="BI47" s="21"/>
      <c r="BJ47" s="25">
        <f>SUM(BF47:BH47)</f>
        <v>0</v>
      </c>
      <c r="BK47" s="23"/>
      <c r="BL47" s="21"/>
      <c r="BM47" s="21"/>
      <c r="BN47" s="21"/>
      <c r="BO47" s="25">
        <f>SUM(BK47:BM47)</f>
        <v>0</v>
      </c>
      <c r="BP47" s="23"/>
      <c r="BQ47" s="21"/>
      <c r="BR47" s="21"/>
      <c r="BS47" s="21"/>
      <c r="BT47" s="25">
        <f t="shared" si="4"/>
        <v>0</v>
      </c>
      <c r="BU47" s="21"/>
      <c r="BV47" s="26"/>
      <c r="BW47" s="21"/>
      <c r="BX47" s="21"/>
      <c r="BY47" s="21"/>
      <c r="BZ47" s="27">
        <f t="shared" si="0"/>
        <v>0</v>
      </c>
      <c r="CA47" s="26"/>
      <c r="CB47" s="21"/>
      <c r="CC47" s="21"/>
      <c r="CD47" s="21"/>
      <c r="CE47" s="27">
        <f t="shared" si="1"/>
        <v>0</v>
      </c>
      <c r="CF47" s="26"/>
      <c r="CG47" s="21"/>
      <c r="CH47" s="21"/>
      <c r="CI47" s="21"/>
      <c r="CJ47" s="27">
        <f t="shared" si="32"/>
        <v>0</v>
      </c>
    </row>
    <row r="48" spans="2:88" x14ac:dyDescent="0.25">
      <c r="B48" t="s">
        <v>53</v>
      </c>
      <c r="C48" s="48">
        <v>3524452000</v>
      </c>
      <c r="D48" t="s">
        <v>185</v>
      </c>
      <c r="E48" t="str">
        <f t="shared" si="3"/>
        <v>$2 Billion - $10 Billion</v>
      </c>
      <c r="F48">
        <f>IF(C48="", "", COUNTIF($C$6:C48,"&gt;0"))</f>
        <v>43</v>
      </c>
      <c r="G48" t="str">
        <f>IF(E48&lt;&gt;'[1]By Asset Category'!$B$1,"",COUNTIF($E$6:E48,'[1]By Asset Category'!$B$1))</f>
        <v/>
      </c>
      <c r="H48" t="s">
        <v>186</v>
      </c>
      <c r="I48" t="s">
        <v>187</v>
      </c>
      <c r="J48" t="s">
        <v>188</v>
      </c>
      <c r="K48" t="s">
        <v>189</v>
      </c>
      <c r="L48" s="33"/>
      <c r="M48" s="34">
        <v>60</v>
      </c>
      <c r="N48" s="19">
        <v>435</v>
      </c>
      <c r="O48" s="19">
        <v>0</v>
      </c>
      <c r="P48" s="19"/>
      <c r="Q48" s="19">
        <f t="shared" si="23"/>
        <v>495</v>
      </c>
      <c r="R48" s="34">
        <v>55</v>
      </c>
      <c r="S48" s="19">
        <v>430</v>
      </c>
      <c r="T48" s="19">
        <v>0</v>
      </c>
      <c r="U48" s="19"/>
      <c r="V48" s="19">
        <f t="shared" si="24"/>
        <v>485</v>
      </c>
      <c r="W48" s="26">
        <v>0</v>
      </c>
      <c r="X48" s="21">
        <v>0</v>
      </c>
      <c r="Y48" s="21">
        <v>0</v>
      </c>
      <c r="Z48" s="21"/>
      <c r="AA48" s="22">
        <f t="shared" si="25"/>
        <v>0</v>
      </c>
      <c r="AB48" s="23">
        <v>65</v>
      </c>
      <c r="AC48" s="21">
        <v>455</v>
      </c>
      <c r="AD48" s="21"/>
      <c r="AE48" s="21"/>
      <c r="AF48" s="35">
        <f t="shared" si="26"/>
        <v>520</v>
      </c>
      <c r="AG48" s="23"/>
      <c r="AH48" s="21"/>
      <c r="AI48" s="21"/>
      <c r="AJ48" s="21"/>
      <c r="AK48" s="25">
        <f t="shared" si="27"/>
        <v>0</v>
      </c>
      <c r="AL48" s="23">
        <v>65</v>
      </c>
      <c r="AM48" s="21">
        <v>390</v>
      </c>
      <c r="AN48" s="21"/>
      <c r="AO48" s="21"/>
      <c r="AP48" s="25">
        <f t="shared" si="28"/>
        <v>455</v>
      </c>
      <c r="AQ48" s="23"/>
      <c r="AR48" s="21"/>
      <c r="AS48" s="21"/>
      <c r="AT48" s="21"/>
      <c r="AU48" s="25">
        <f t="shared" si="29"/>
        <v>0</v>
      </c>
      <c r="AV48" s="23"/>
      <c r="AW48" s="21"/>
      <c r="AX48" s="21"/>
      <c r="AY48" s="21"/>
      <c r="AZ48" s="25">
        <f t="shared" si="21"/>
        <v>0</v>
      </c>
      <c r="BA48" s="23"/>
      <c r="BB48" s="21"/>
      <c r="BC48" s="21"/>
      <c r="BD48" s="21"/>
      <c r="BE48" s="25">
        <f t="shared" si="22"/>
        <v>0</v>
      </c>
      <c r="BF48" s="23"/>
      <c r="BG48" s="21"/>
      <c r="BH48" s="21"/>
      <c r="BI48" s="21"/>
      <c r="BJ48" s="25">
        <f>SUM(BF48:BI48)</f>
        <v>0</v>
      </c>
      <c r="BK48" s="23"/>
      <c r="BL48" s="21"/>
      <c r="BM48" s="21"/>
      <c r="BN48" s="21"/>
      <c r="BO48" s="25">
        <f>SUM(BK48:BN48)</f>
        <v>0</v>
      </c>
      <c r="BP48" s="23"/>
      <c r="BQ48" s="21"/>
      <c r="BR48" s="21"/>
      <c r="BS48" s="21"/>
      <c r="BT48" s="25">
        <f t="shared" si="4"/>
        <v>0</v>
      </c>
      <c r="BU48" s="21">
        <v>1500</v>
      </c>
      <c r="BV48" s="26"/>
      <c r="BW48" s="21"/>
      <c r="BX48" s="21"/>
      <c r="BY48" s="21"/>
      <c r="BZ48" s="27">
        <f t="shared" si="0"/>
        <v>0</v>
      </c>
      <c r="CA48" s="26"/>
      <c r="CB48" s="21"/>
      <c r="CC48" s="21"/>
      <c r="CD48" s="21"/>
      <c r="CE48" s="27">
        <f t="shared" si="1"/>
        <v>0</v>
      </c>
      <c r="CF48" s="26"/>
      <c r="CG48" s="21"/>
      <c r="CH48" s="21"/>
      <c r="CI48" s="21"/>
      <c r="CJ48" s="27">
        <f t="shared" si="32"/>
        <v>0</v>
      </c>
    </row>
    <row r="49" spans="2:88" x14ac:dyDescent="0.25">
      <c r="B49" t="s">
        <v>41</v>
      </c>
      <c r="C49" s="48">
        <v>25583000</v>
      </c>
      <c r="D49" t="s">
        <v>190</v>
      </c>
      <c r="E49" t="str">
        <f t="shared" si="3"/>
        <v>Less than $350 Million</v>
      </c>
      <c r="F49">
        <f>IF(C49="", "", COUNTIF($C$6:C49,"&gt;0"))</f>
        <v>44</v>
      </c>
      <c r="G49" t="str">
        <f>IF(E49&lt;&gt;'[1]By Asset Category'!$B$1,"",COUNTIF($E$6:E49,'[1]By Asset Category'!$B$1))</f>
        <v/>
      </c>
      <c r="H49" t="s">
        <v>191</v>
      </c>
      <c r="L49" s="33"/>
      <c r="M49" s="34"/>
      <c r="N49" s="19"/>
      <c r="O49" s="19"/>
      <c r="P49" s="19"/>
      <c r="Q49" s="19"/>
      <c r="R49" s="34"/>
      <c r="S49" s="19"/>
      <c r="T49" s="19"/>
      <c r="U49" s="19"/>
      <c r="V49" s="19"/>
      <c r="W49" s="26"/>
      <c r="X49" s="21"/>
      <c r="Y49" s="21"/>
      <c r="Z49" s="21"/>
      <c r="AA49" s="22"/>
      <c r="AB49" s="23"/>
      <c r="AC49" s="21"/>
      <c r="AD49" s="21"/>
      <c r="AE49" s="21"/>
      <c r="AF49" s="35"/>
      <c r="AG49" s="23"/>
      <c r="AH49" s="21"/>
      <c r="AI49" s="21"/>
      <c r="AJ49" s="21"/>
      <c r="AK49" s="25"/>
      <c r="AL49" s="23"/>
      <c r="AM49" s="21"/>
      <c r="AN49" s="21"/>
      <c r="AO49" s="21"/>
      <c r="AP49" s="25"/>
      <c r="AQ49" s="23"/>
      <c r="AR49" s="21"/>
      <c r="AS49" s="21"/>
      <c r="AT49" s="21"/>
      <c r="AU49" s="25"/>
      <c r="AV49" s="23"/>
      <c r="AW49" s="21"/>
      <c r="AX49" s="21"/>
      <c r="AY49" s="21"/>
      <c r="AZ49" s="25"/>
      <c r="BA49" s="23"/>
      <c r="BB49" s="21"/>
      <c r="BC49" s="21"/>
      <c r="BD49" s="21"/>
      <c r="BE49" s="25"/>
      <c r="BF49" s="23"/>
      <c r="BG49" s="21"/>
      <c r="BH49" s="21"/>
      <c r="BI49" s="21"/>
      <c r="BJ49" s="25"/>
      <c r="BK49" s="23"/>
      <c r="BL49" s="21"/>
      <c r="BM49" s="21"/>
      <c r="BN49" s="21"/>
      <c r="BO49" s="25"/>
      <c r="BP49" s="23"/>
      <c r="BQ49" s="21"/>
      <c r="BR49" s="21"/>
      <c r="BS49" s="21"/>
      <c r="BT49" s="25"/>
      <c r="BU49" s="21"/>
      <c r="BV49" s="26"/>
      <c r="BW49" s="21"/>
      <c r="BX49" s="21"/>
      <c r="BY49" s="21"/>
      <c r="BZ49" s="27"/>
      <c r="CA49" s="26"/>
      <c r="CB49" s="21"/>
      <c r="CC49" s="21"/>
      <c r="CD49" s="21"/>
      <c r="CE49" s="27"/>
      <c r="CF49" s="26"/>
      <c r="CG49" s="21"/>
      <c r="CH49" s="21"/>
      <c r="CI49" s="21"/>
      <c r="CJ49" s="27"/>
    </row>
    <row r="50" spans="2:88" x14ac:dyDescent="0.25">
      <c r="B50" t="s">
        <v>58</v>
      </c>
      <c r="C50" s="17">
        <v>2063981000</v>
      </c>
      <c r="D50" t="s">
        <v>192</v>
      </c>
      <c r="E50" t="str">
        <f t="shared" si="3"/>
        <v>$2 Billion - $10 Billion</v>
      </c>
      <c r="F50">
        <f>IF(C50="", "", COUNTIF($C$6:C50,"&gt;0"))</f>
        <v>45</v>
      </c>
      <c r="G50" t="str">
        <f>IF(E50&lt;&gt;'[1]By Asset Category'!$B$1,"",COUNTIF($E$6:E50,'[1]By Asset Category'!$B$1))</f>
        <v/>
      </c>
      <c r="H50" t="s">
        <v>193</v>
      </c>
      <c r="I50" t="s">
        <v>3</v>
      </c>
      <c r="J50" t="s">
        <v>3</v>
      </c>
      <c r="K50" t="s">
        <v>3</v>
      </c>
      <c r="L50" s="33"/>
      <c r="M50" s="34">
        <v>0</v>
      </c>
      <c r="N50" s="19">
        <v>0</v>
      </c>
      <c r="O50" s="19">
        <v>0</v>
      </c>
      <c r="P50" s="19"/>
      <c r="Q50" s="19">
        <f t="shared" si="23"/>
        <v>0</v>
      </c>
      <c r="R50" s="34">
        <v>1145</v>
      </c>
      <c r="S50" s="19">
        <v>1070</v>
      </c>
      <c r="T50" s="19">
        <v>0</v>
      </c>
      <c r="U50" s="19"/>
      <c r="V50" s="19">
        <f t="shared" si="24"/>
        <v>2215</v>
      </c>
      <c r="W50" s="26">
        <v>2496</v>
      </c>
      <c r="X50" s="21">
        <v>450</v>
      </c>
      <c r="Y50" s="21">
        <v>0</v>
      </c>
      <c r="Z50" s="21"/>
      <c r="AA50" s="22">
        <f t="shared" si="25"/>
        <v>2946</v>
      </c>
      <c r="AB50" s="23">
        <v>2949</v>
      </c>
      <c r="AC50" s="21">
        <v>950</v>
      </c>
      <c r="AD50" s="21"/>
      <c r="AE50" s="21"/>
      <c r="AF50" s="35">
        <f t="shared" si="26"/>
        <v>3899</v>
      </c>
      <c r="AG50" s="23">
        <v>4036</v>
      </c>
      <c r="AH50" s="21">
        <v>1250</v>
      </c>
      <c r="AI50" s="21"/>
      <c r="AJ50" s="21"/>
      <c r="AK50" s="25">
        <f t="shared" si="27"/>
        <v>5286</v>
      </c>
      <c r="AL50" s="23">
        <v>4104</v>
      </c>
      <c r="AM50" s="21">
        <v>350</v>
      </c>
      <c r="AN50" s="21"/>
      <c r="AO50" s="21"/>
      <c r="AP50" s="25">
        <f t="shared" si="28"/>
        <v>4454</v>
      </c>
      <c r="AQ50" s="23">
        <v>3827</v>
      </c>
      <c r="AR50" s="21">
        <v>1400</v>
      </c>
      <c r="AS50" s="21"/>
      <c r="AT50" s="21"/>
      <c r="AU50" s="25">
        <f t="shared" si="29"/>
        <v>5227</v>
      </c>
      <c r="AV50" s="23">
        <f>4142+250</f>
        <v>4392</v>
      </c>
      <c r="AW50" s="21">
        <v>900</v>
      </c>
      <c r="AX50" s="21"/>
      <c r="AY50" s="21"/>
      <c r="AZ50" s="25">
        <f t="shared" si="21"/>
        <v>5292</v>
      </c>
      <c r="BA50" s="23">
        <v>4223</v>
      </c>
      <c r="BB50" s="21">
        <v>1050</v>
      </c>
      <c r="BC50" s="21"/>
      <c r="BD50" s="21"/>
      <c r="BE50" s="25">
        <f t="shared" si="22"/>
        <v>5273</v>
      </c>
      <c r="BF50" s="23">
        <v>4453</v>
      </c>
      <c r="BG50" s="21">
        <v>1300</v>
      </c>
      <c r="BH50" s="21"/>
      <c r="BI50" s="21"/>
      <c r="BJ50" s="25">
        <f>SUM(BF50:BI50)</f>
        <v>5753</v>
      </c>
      <c r="BK50" s="23">
        <v>6122</v>
      </c>
      <c r="BL50" s="21">
        <v>800</v>
      </c>
      <c r="BM50" s="21"/>
      <c r="BN50" s="21"/>
      <c r="BO50" s="25">
        <f>SUM(BK50:BN50)</f>
        <v>6922</v>
      </c>
      <c r="BP50" s="23">
        <v>4823</v>
      </c>
      <c r="BQ50" s="21">
        <v>1250</v>
      </c>
      <c r="BR50" s="21"/>
      <c r="BS50" s="21"/>
      <c r="BT50" s="25">
        <f t="shared" si="4"/>
        <v>6073</v>
      </c>
      <c r="BU50" s="21">
        <v>500</v>
      </c>
      <c r="BV50" s="26">
        <v>2560</v>
      </c>
      <c r="BW50" s="21">
        <v>2850</v>
      </c>
      <c r="BX50" s="21"/>
      <c r="BY50" s="21"/>
      <c r="BZ50" s="27">
        <f t="shared" si="0"/>
        <v>5410</v>
      </c>
      <c r="CA50" s="26">
        <v>7170</v>
      </c>
      <c r="CB50" s="21">
        <v>3550</v>
      </c>
      <c r="CC50" s="21"/>
      <c r="CD50" s="21"/>
      <c r="CE50" s="27">
        <f t="shared" si="1"/>
        <v>10720</v>
      </c>
      <c r="CF50" s="26">
        <v>7250</v>
      </c>
      <c r="CG50" s="21">
        <v>3450</v>
      </c>
      <c r="CH50" s="21"/>
      <c r="CI50" s="21"/>
      <c r="CJ50" s="27">
        <f t="shared" ref="CJ50" si="33">SUM(CF50:CI50)</f>
        <v>10700</v>
      </c>
    </row>
    <row r="51" spans="2:88" x14ac:dyDescent="0.25">
      <c r="B51" t="s">
        <v>58</v>
      </c>
      <c r="C51" s="17">
        <v>3190100000000</v>
      </c>
      <c r="D51" t="s">
        <v>194</v>
      </c>
      <c r="E51" t="str">
        <f t="shared" si="3"/>
        <v>Over $10 Billion</v>
      </c>
      <c r="F51">
        <f>IF(C51="", "", COUNTIF($C$6:C51,"&gt;0"))</f>
        <v>46</v>
      </c>
      <c r="G51" t="str">
        <f>IF(E51&lt;&gt;'[1]By Asset Category'!$B$1,"",COUNTIF($E$6:E51,'[1]By Asset Category'!$B$1))</f>
        <v/>
      </c>
      <c r="H51" t="s">
        <v>195</v>
      </c>
      <c r="L51" s="33"/>
      <c r="M51" s="34"/>
      <c r="N51" s="19"/>
      <c r="O51" s="19"/>
      <c r="P51" s="19"/>
      <c r="Q51" s="19"/>
      <c r="R51" s="34"/>
      <c r="S51" s="19"/>
      <c r="T51" s="19"/>
      <c r="U51" s="19"/>
      <c r="V51" s="19"/>
      <c r="W51" s="26"/>
      <c r="X51" s="21"/>
      <c r="Y51" s="21"/>
      <c r="Z51" s="21"/>
      <c r="AA51" s="22"/>
      <c r="AB51" s="23"/>
      <c r="AC51" s="21"/>
      <c r="AD51" s="21"/>
      <c r="AE51" s="21"/>
      <c r="AF51" s="35"/>
      <c r="AG51" s="23"/>
      <c r="AH51" s="21"/>
      <c r="AI51" s="21"/>
      <c r="AJ51" s="21"/>
      <c r="AK51" s="25"/>
      <c r="AL51" s="23"/>
      <c r="AM51" s="21"/>
      <c r="AN51" s="21"/>
      <c r="AO51" s="21"/>
      <c r="AP51" s="25"/>
      <c r="AQ51" s="23"/>
      <c r="AR51" s="21"/>
      <c r="AS51" s="21"/>
      <c r="AT51" s="21"/>
      <c r="AU51" s="25"/>
      <c r="AV51" s="23"/>
      <c r="AW51" s="21"/>
      <c r="AX51" s="21"/>
      <c r="AY51" s="21"/>
      <c r="AZ51" s="25"/>
      <c r="BA51" s="23"/>
      <c r="BB51" s="21"/>
      <c r="BC51" s="21"/>
      <c r="BD51" s="21"/>
      <c r="BE51" s="25"/>
      <c r="BF51" s="23"/>
      <c r="BG51" s="21"/>
      <c r="BH51" s="21"/>
      <c r="BI51" s="21"/>
      <c r="BJ51" s="25"/>
      <c r="BK51" s="23"/>
      <c r="BL51" s="21"/>
      <c r="BM51" s="21"/>
      <c r="BN51" s="21"/>
      <c r="BO51" s="25"/>
      <c r="BP51" s="23"/>
      <c r="BQ51" s="21"/>
      <c r="BR51" s="21"/>
      <c r="BS51" s="21"/>
      <c r="BT51" s="25"/>
      <c r="BU51" s="21"/>
      <c r="BV51" s="26"/>
      <c r="BW51" s="21"/>
      <c r="BX51" s="21"/>
      <c r="BY51" s="21"/>
      <c r="BZ51" s="27"/>
      <c r="CA51" s="26"/>
      <c r="CB51" s="21"/>
      <c r="CC51" s="21"/>
      <c r="CD51" s="21"/>
      <c r="CE51" s="27"/>
      <c r="CF51" s="26"/>
      <c r="CG51" s="21"/>
      <c r="CH51" s="21"/>
      <c r="CI51" s="21"/>
      <c r="CJ51" s="27"/>
    </row>
    <row r="52" spans="2:88" x14ac:dyDescent="0.25">
      <c r="B52" t="s">
        <v>53</v>
      </c>
      <c r="C52" s="17">
        <v>170744000</v>
      </c>
      <c r="D52" t="s">
        <v>196</v>
      </c>
      <c r="E52" t="str">
        <f t="shared" si="3"/>
        <v>Less than $350 Million</v>
      </c>
      <c r="F52">
        <f>IF(C52="", "", COUNTIF($C$6:C52,"&gt;0"))</f>
        <v>47</v>
      </c>
      <c r="G52" t="str">
        <f>IF(E52&lt;&gt;'[1]By Asset Category'!$B$1,"",COUNTIF($E$6:E52,'[1]By Asset Category'!$B$1))</f>
        <v/>
      </c>
      <c r="H52" t="s">
        <v>197</v>
      </c>
      <c r="I52" t="s">
        <v>91</v>
      </c>
      <c r="J52" t="s">
        <v>198</v>
      </c>
      <c r="K52" t="s">
        <v>199</v>
      </c>
      <c r="L52" s="33"/>
      <c r="M52" s="34">
        <v>0</v>
      </c>
      <c r="N52" s="19">
        <v>0</v>
      </c>
      <c r="O52" s="19">
        <v>300</v>
      </c>
      <c r="P52" s="19">
        <v>0</v>
      </c>
      <c r="Q52" s="19">
        <f t="shared" si="23"/>
        <v>300</v>
      </c>
      <c r="R52" s="34">
        <v>0</v>
      </c>
      <c r="S52" s="19">
        <v>0</v>
      </c>
      <c r="T52" s="19">
        <v>0</v>
      </c>
      <c r="U52" s="19">
        <v>0</v>
      </c>
      <c r="V52" s="19">
        <f t="shared" si="24"/>
        <v>0</v>
      </c>
      <c r="W52" s="26">
        <v>0</v>
      </c>
      <c r="X52" s="21">
        <v>0</v>
      </c>
      <c r="Y52" s="21">
        <v>500</v>
      </c>
      <c r="Z52" s="21"/>
      <c r="AA52" s="22">
        <f t="shared" si="25"/>
        <v>500</v>
      </c>
      <c r="AB52" s="23"/>
      <c r="AC52" s="21"/>
      <c r="AD52" s="21">
        <v>500</v>
      </c>
      <c r="AE52" s="21"/>
      <c r="AF52" s="35">
        <f t="shared" si="26"/>
        <v>500</v>
      </c>
      <c r="AG52" s="23"/>
      <c r="AH52" s="21"/>
      <c r="AI52" s="21"/>
      <c r="AJ52" s="21"/>
      <c r="AK52" s="25">
        <f t="shared" si="27"/>
        <v>0</v>
      </c>
      <c r="AL52" s="23"/>
      <c r="AM52" s="21"/>
      <c r="AN52" s="21">
        <v>500</v>
      </c>
      <c r="AO52" s="21"/>
      <c r="AP52" s="25">
        <f t="shared" si="28"/>
        <v>500</v>
      </c>
      <c r="AQ52" s="23"/>
      <c r="AR52" s="21"/>
      <c r="AS52" s="21">
        <v>500</v>
      </c>
      <c r="AT52" s="21"/>
      <c r="AU52" s="25">
        <f t="shared" si="29"/>
        <v>500</v>
      </c>
      <c r="AV52" s="23"/>
      <c r="AW52" s="21"/>
      <c r="AX52" s="21">
        <v>500</v>
      </c>
      <c r="AY52" s="21"/>
      <c r="AZ52" s="25">
        <f t="shared" si="21"/>
        <v>500</v>
      </c>
      <c r="BA52" s="23"/>
      <c r="BB52" s="21"/>
      <c r="BC52" s="21">
        <v>500</v>
      </c>
      <c r="BD52" s="21"/>
      <c r="BE52" s="25">
        <f t="shared" si="22"/>
        <v>500</v>
      </c>
      <c r="BF52" s="23"/>
      <c r="BG52" s="21"/>
      <c r="BH52" s="21"/>
      <c r="BI52" s="21"/>
      <c r="BJ52" s="25">
        <f>SUM(BF52:BI52)</f>
        <v>0</v>
      </c>
      <c r="BK52" s="23"/>
      <c r="BL52" s="21"/>
      <c r="BM52" s="21"/>
      <c r="BN52" s="21"/>
      <c r="BO52" s="25">
        <f>SUM(BK52:BN52)</f>
        <v>0</v>
      </c>
      <c r="BP52" s="23">
        <v>500</v>
      </c>
      <c r="BQ52" s="21"/>
      <c r="BR52" s="21">
        <v>500</v>
      </c>
      <c r="BS52" s="21"/>
      <c r="BT52" s="25">
        <f t="shared" si="4"/>
        <v>1000</v>
      </c>
      <c r="BU52" s="21"/>
      <c r="BV52" s="26">
        <v>1000</v>
      </c>
      <c r="BW52" s="21"/>
      <c r="BX52" s="21">
        <v>500</v>
      </c>
      <c r="BY52" s="21"/>
      <c r="BZ52" s="27">
        <f t="shared" si="0"/>
        <v>1500</v>
      </c>
      <c r="CA52" s="26">
        <v>1500</v>
      </c>
      <c r="CB52" s="21"/>
      <c r="CC52" s="21">
        <v>500</v>
      </c>
      <c r="CD52" s="21"/>
      <c r="CE52" s="27">
        <f t="shared" si="1"/>
        <v>2000</v>
      </c>
      <c r="CF52" s="26"/>
      <c r="CG52" s="21">
        <v>1000</v>
      </c>
      <c r="CH52" s="21"/>
      <c r="CI52" s="21"/>
      <c r="CJ52" s="27">
        <f t="shared" ref="CJ52" si="34">SUM(CF52:CI52)</f>
        <v>1000</v>
      </c>
    </row>
    <row r="53" spans="2:88" x14ac:dyDescent="0.25">
      <c r="B53" t="s">
        <v>53</v>
      </c>
      <c r="C53" s="17">
        <v>339729000</v>
      </c>
      <c r="D53" t="s">
        <v>200</v>
      </c>
      <c r="E53" t="str">
        <f t="shared" si="3"/>
        <v>Less than $350 Million</v>
      </c>
      <c r="F53">
        <f>IF(C53="", "", COUNTIF($C$6:C53,"&gt;0"))</f>
        <v>48</v>
      </c>
      <c r="G53" t="str">
        <f>IF(E53&lt;&gt;'[1]By Asset Category'!$B$1,"",COUNTIF($E$6:E53,'[1]By Asset Category'!$B$1))</f>
        <v/>
      </c>
      <c r="H53" s="30" t="s">
        <v>201</v>
      </c>
      <c r="I53" t="s">
        <v>38</v>
      </c>
      <c r="L53" s="33"/>
      <c r="M53" s="34">
        <v>0</v>
      </c>
      <c r="N53" s="19">
        <v>0</v>
      </c>
      <c r="O53" s="19">
        <v>0</v>
      </c>
      <c r="P53" s="19">
        <v>0</v>
      </c>
      <c r="Q53" s="19">
        <f>SUM(M53:P53)</f>
        <v>0</v>
      </c>
      <c r="R53" s="34">
        <v>0</v>
      </c>
      <c r="S53" s="19">
        <v>0</v>
      </c>
      <c r="T53" s="19">
        <v>0</v>
      </c>
      <c r="U53" s="19">
        <v>0</v>
      </c>
      <c r="V53" s="19">
        <f>SUM(R53:U53)</f>
        <v>0</v>
      </c>
      <c r="W53" s="26">
        <v>0</v>
      </c>
      <c r="X53" s="21">
        <v>0</v>
      </c>
      <c r="Y53" s="21">
        <v>0</v>
      </c>
      <c r="Z53" s="21"/>
      <c r="AA53" s="22">
        <f>SUM(W53:Z53)</f>
        <v>0</v>
      </c>
      <c r="AB53" s="23"/>
      <c r="AC53" s="21"/>
      <c r="AD53" s="21"/>
      <c r="AE53" s="21"/>
      <c r="AF53" s="35">
        <f>SUM(AB53:AE53)</f>
        <v>0</v>
      </c>
      <c r="AG53" s="23"/>
      <c r="AH53" s="21"/>
      <c r="AI53" s="21"/>
      <c r="AJ53" s="21"/>
      <c r="AK53" s="25">
        <f>SUM(AG53:AJ53)</f>
        <v>0</v>
      </c>
      <c r="AL53" s="23"/>
      <c r="AM53" s="21"/>
      <c r="AN53" s="21"/>
      <c r="AO53" s="21"/>
      <c r="AP53" s="25">
        <f>SUM(AL53:AO53)</f>
        <v>0</v>
      </c>
      <c r="AQ53" s="23"/>
      <c r="AR53" s="21"/>
      <c r="AS53" s="21"/>
      <c r="AT53" s="21"/>
      <c r="AU53" s="25">
        <f>SUM(AQ53:AT53)</f>
        <v>0</v>
      </c>
      <c r="AV53" s="23"/>
      <c r="AW53" s="21"/>
      <c r="AX53" s="21"/>
      <c r="AY53" s="21"/>
      <c r="AZ53" s="25">
        <f>SUM(AV53:AY53)</f>
        <v>0</v>
      </c>
      <c r="BA53" s="23"/>
      <c r="BB53" s="21"/>
      <c r="BC53" s="21"/>
      <c r="BD53" s="21"/>
      <c r="BE53" s="25">
        <f>SUM(BA53:BD53)</f>
        <v>0</v>
      </c>
      <c r="BF53" s="23"/>
      <c r="BG53" s="21"/>
      <c r="BH53" s="21"/>
      <c r="BI53" s="21"/>
      <c r="BJ53" s="25">
        <f>SUM(BF53:BI53)</f>
        <v>0</v>
      </c>
      <c r="BK53" s="23"/>
      <c r="BL53" s="21"/>
      <c r="BM53" s="21"/>
      <c r="BN53" s="21"/>
      <c r="BO53" s="25">
        <f>SUM(BK53:BN53)</f>
        <v>0</v>
      </c>
      <c r="BP53" s="23"/>
      <c r="BQ53" s="21"/>
      <c r="BR53" s="21"/>
      <c r="BS53" s="21"/>
      <c r="BT53" s="25">
        <f t="shared" si="4"/>
        <v>0</v>
      </c>
      <c r="BU53" s="21"/>
      <c r="BV53" s="26"/>
      <c r="BW53" s="21"/>
      <c r="BX53" s="21"/>
      <c r="BY53" s="21"/>
      <c r="BZ53" s="27">
        <f>SUM(BV53:BY53)</f>
        <v>0</v>
      </c>
      <c r="CA53" s="26"/>
      <c r="CB53" s="21"/>
      <c r="CC53" s="21"/>
      <c r="CD53" s="21"/>
      <c r="CE53" s="27">
        <f>SUM(CA53:CD53)</f>
        <v>0</v>
      </c>
      <c r="CF53" s="26">
        <v>1000</v>
      </c>
      <c r="CG53" s="21"/>
      <c r="CH53" s="21"/>
      <c r="CI53" s="21"/>
      <c r="CJ53" s="27">
        <f>SUM(CF53:CI53)</f>
        <v>1000</v>
      </c>
    </row>
    <row r="54" spans="2:88" x14ac:dyDescent="0.25">
      <c r="B54" t="s">
        <v>47</v>
      </c>
      <c r="C54" s="17">
        <v>150227852000</v>
      </c>
      <c r="D54" t="s">
        <v>202</v>
      </c>
      <c r="E54" t="str">
        <f t="shared" si="3"/>
        <v>Over $10 Billion</v>
      </c>
      <c r="F54">
        <f>IF(C54="", "", COUNTIF($C$6:C54,"&gt;0"))</f>
        <v>49</v>
      </c>
      <c r="G54" t="str">
        <f>IF(E54&lt;&gt;'[1]By Asset Category'!$B$1,"",COUNTIF($E$6:E54,'[1]By Asset Category'!$B$1))</f>
        <v/>
      </c>
      <c r="H54" t="s">
        <v>203</v>
      </c>
      <c r="I54" t="s">
        <v>3</v>
      </c>
      <c r="J54" t="s">
        <v>3</v>
      </c>
      <c r="K54" t="s">
        <v>3</v>
      </c>
      <c r="L54" s="33"/>
      <c r="M54" s="34"/>
      <c r="N54" s="19"/>
      <c r="O54" s="19"/>
      <c r="P54" s="19"/>
      <c r="Q54" s="19">
        <f t="shared" si="23"/>
        <v>0</v>
      </c>
      <c r="R54" s="34">
        <v>250</v>
      </c>
      <c r="S54" s="19"/>
      <c r="T54" s="19"/>
      <c r="U54" s="19"/>
      <c r="V54" s="19">
        <f t="shared" si="24"/>
        <v>250</v>
      </c>
      <c r="W54" s="26">
        <v>500</v>
      </c>
      <c r="X54" s="21"/>
      <c r="Y54" s="21"/>
      <c r="Z54" s="21">
        <v>1000</v>
      </c>
      <c r="AA54" s="22">
        <f t="shared" si="25"/>
        <v>1500</v>
      </c>
      <c r="AB54" s="23">
        <v>500</v>
      </c>
      <c r="AC54" s="21"/>
      <c r="AD54" s="21"/>
      <c r="AE54" s="21"/>
      <c r="AF54" s="35">
        <f t="shared" si="26"/>
        <v>500</v>
      </c>
      <c r="AG54" s="23">
        <v>1499</v>
      </c>
      <c r="AH54" s="21"/>
      <c r="AI54" s="21"/>
      <c r="AJ54" s="21">
        <v>2500</v>
      </c>
      <c r="AK54" s="25">
        <f t="shared" si="27"/>
        <v>3999</v>
      </c>
      <c r="AL54" s="23">
        <v>1070</v>
      </c>
      <c r="AM54" s="21"/>
      <c r="AN54" s="21"/>
      <c r="AO54" s="21">
        <v>2500</v>
      </c>
      <c r="AP54" s="25">
        <f t="shared" si="28"/>
        <v>3570</v>
      </c>
      <c r="AQ54" s="23"/>
      <c r="AR54" s="21"/>
      <c r="AS54" s="21"/>
      <c r="AT54" s="21">
        <v>2500</v>
      </c>
      <c r="AU54" s="25">
        <f t="shared" si="29"/>
        <v>2500</v>
      </c>
      <c r="AV54" s="23"/>
      <c r="AW54" s="21"/>
      <c r="AX54" s="21"/>
      <c r="AY54" s="21"/>
      <c r="AZ54" s="25">
        <f t="shared" si="21"/>
        <v>0</v>
      </c>
      <c r="BA54" s="23"/>
      <c r="BB54" s="21"/>
      <c r="BC54" s="21"/>
      <c r="BD54" s="21"/>
      <c r="BE54" s="25">
        <f t="shared" si="22"/>
        <v>0</v>
      </c>
      <c r="BF54" s="23"/>
      <c r="BG54" s="21"/>
      <c r="BH54" s="21"/>
      <c r="BI54" s="21"/>
      <c r="BJ54" s="25"/>
      <c r="BK54" s="23"/>
      <c r="BL54" s="21"/>
      <c r="BM54" s="21"/>
      <c r="BN54" s="21">
        <v>2000</v>
      </c>
      <c r="BO54" s="25"/>
      <c r="BP54" s="23">
        <v>1970</v>
      </c>
      <c r="BQ54" s="21">
        <v>300</v>
      </c>
      <c r="BR54" s="21">
        <v>750</v>
      </c>
      <c r="BS54" s="21"/>
      <c r="BT54" s="25">
        <f t="shared" si="4"/>
        <v>3020</v>
      </c>
      <c r="BU54" s="21"/>
      <c r="BV54" s="26"/>
      <c r="BW54" s="21"/>
      <c r="BX54" s="21">
        <v>2000</v>
      </c>
      <c r="BY54" s="21"/>
      <c r="BZ54" s="27">
        <f t="shared" si="0"/>
        <v>2000</v>
      </c>
      <c r="CA54" s="26"/>
      <c r="CB54" s="21"/>
      <c r="CC54" s="21">
        <v>2500</v>
      </c>
      <c r="CD54" s="21"/>
      <c r="CE54" s="27">
        <f t="shared" ref="CE54:CE101" si="35">SUM(CA54:CD54)</f>
        <v>2500</v>
      </c>
      <c r="CF54" s="26"/>
      <c r="CG54" s="21"/>
      <c r="CH54" s="21"/>
      <c r="CI54" s="21"/>
      <c r="CJ54" s="27">
        <f t="shared" ref="CJ54:CJ66" si="36">SUM(CF54:CI54)</f>
        <v>0</v>
      </c>
    </row>
    <row r="55" spans="2:88" x14ac:dyDescent="0.25">
      <c r="B55" t="s">
        <v>58</v>
      </c>
      <c r="C55" s="17">
        <v>1707975000</v>
      </c>
      <c r="D55" t="s">
        <v>204</v>
      </c>
      <c r="E55" t="str">
        <f t="shared" si="3"/>
        <v>$800 Million - $2 Billion</v>
      </c>
      <c r="F55">
        <f>IF(C55="", "", COUNTIF($C$6:C55,"&gt;0"))</f>
        <v>50</v>
      </c>
      <c r="G55">
        <f>IF(E55&lt;&gt;'[1]By Asset Category'!$B$1,"",COUNTIF($E$6:E55,'[1]By Asset Category'!$B$1))</f>
        <v>14</v>
      </c>
      <c r="H55" t="s">
        <v>205</v>
      </c>
      <c r="I55" t="s">
        <v>206</v>
      </c>
      <c r="J55" t="s">
        <v>207</v>
      </c>
      <c r="K55" t="s">
        <v>208</v>
      </c>
      <c r="L55" s="33" t="s">
        <v>3</v>
      </c>
      <c r="M55" s="34">
        <v>765</v>
      </c>
      <c r="N55" s="19">
        <v>50</v>
      </c>
      <c r="O55" s="19">
        <v>0</v>
      </c>
      <c r="P55" s="19"/>
      <c r="Q55" s="19">
        <f t="shared" si="23"/>
        <v>815</v>
      </c>
      <c r="R55" s="34">
        <v>1310</v>
      </c>
      <c r="S55" s="19">
        <v>250</v>
      </c>
      <c r="T55" s="19">
        <v>1080</v>
      </c>
      <c r="U55" s="19"/>
      <c r="V55" s="19">
        <f t="shared" si="24"/>
        <v>2640</v>
      </c>
      <c r="W55" s="26">
        <v>1510</v>
      </c>
      <c r="X55" s="21">
        <v>400</v>
      </c>
      <c r="Y55" s="21">
        <v>965</v>
      </c>
      <c r="Z55" s="21"/>
      <c r="AA55" s="22">
        <f t="shared" si="25"/>
        <v>2875</v>
      </c>
      <c r="AB55" s="23">
        <v>550</v>
      </c>
      <c r="AC55" s="21">
        <v>600</v>
      </c>
      <c r="AD55" s="21">
        <v>2550</v>
      </c>
      <c r="AE55" s="21"/>
      <c r="AF55" s="35">
        <f t="shared" si="26"/>
        <v>3700</v>
      </c>
      <c r="AG55" s="23">
        <v>495</v>
      </c>
      <c r="AH55" s="21">
        <v>500</v>
      </c>
      <c r="AI55" s="21">
        <v>3050</v>
      </c>
      <c r="AJ55" s="21"/>
      <c r="AK55" s="25">
        <f t="shared" si="27"/>
        <v>4045</v>
      </c>
      <c r="AL55" s="23">
        <v>715</v>
      </c>
      <c r="AM55" s="21">
        <v>650</v>
      </c>
      <c r="AN55" s="21">
        <v>2685</v>
      </c>
      <c r="AO55" s="21"/>
      <c r="AP55" s="25">
        <f t="shared" si="28"/>
        <v>4050</v>
      </c>
      <c r="AQ55" s="23">
        <v>685</v>
      </c>
      <c r="AR55" s="21">
        <v>200</v>
      </c>
      <c r="AS55" s="21">
        <v>615</v>
      </c>
      <c r="AT55" s="21"/>
      <c r="AU55" s="25">
        <f t="shared" si="29"/>
        <v>1500</v>
      </c>
      <c r="AV55" s="23">
        <v>960</v>
      </c>
      <c r="AW55" s="21">
        <v>600</v>
      </c>
      <c r="AX55" s="21">
        <v>640</v>
      </c>
      <c r="AY55" s="21"/>
      <c r="AZ55" s="25">
        <f t="shared" si="21"/>
        <v>2200</v>
      </c>
      <c r="BA55" s="23">
        <v>1860</v>
      </c>
      <c r="BB55" s="21">
        <v>400</v>
      </c>
      <c r="BC55" s="21"/>
      <c r="BD55" s="21"/>
      <c r="BE55" s="25">
        <v>1000</v>
      </c>
      <c r="BF55" s="23">
        <v>1390</v>
      </c>
      <c r="BG55" s="21">
        <v>100</v>
      </c>
      <c r="BH55" s="21">
        <v>1000</v>
      </c>
      <c r="BI55" s="21"/>
      <c r="BJ55" s="25">
        <f>SUM(BF55:BI55)</f>
        <v>2490</v>
      </c>
      <c r="BK55" s="23">
        <v>1955</v>
      </c>
      <c r="BL55" s="21"/>
      <c r="BM55" s="21"/>
      <c r="BN55" s="21"/>
      <c r="BO55" s="25">
        <f>SUM(BK55:BN55)</f>
        <v>1955</v>
      </c>
      <c r="BP55" s="23"/>
      <c r="BQ55" s="21"/>
      <c r="BR55" s="21"/>
      <c r="BS55" s="21"/>
      <c r="BT55" s="25">
        <f t="shared" si="4"/>
        <v>0</v>
      </c>
      <c r="BU55" s="21"/>
      <c r="BV55" s="26">
        <v>2425</v>
      </c>
      <c r="BW55" s="21">
        <v>350</v>
      </c>
      <c r="BX55" s="21">
        <v>750</v>
      </c>
      <c r="BY55" s="21"/>
      <c r="BZ55" s="27">
        <f t="shared" si="0"/>
        <v>3525</v>
      </c>
      <c r="CA55" s="26"/>
      <c r="CB55" s="21"/>
      <c r="CC55" s="21">
        <v>750</v>
      </c>
      <c r="CD55" s="21"/>
      <c r="CE55" s="27">
        <f t="shared" si="35"/>
        <v>750</v>
      </c>
      <c r="CF55" s="26"/>
      <c r="CG55" s="21"/>
      <c r="CH55" s="21"/>
      <c r="CI55" s="21"/>
      <c r="CJ55" s="27">
        <f t="shared" si="36"/>
        <v>0</v>
      </c>
    </row>
    <row r="56" spans="2:88" x14ac:dyDescent="0.25">
      <c r="B56" t="s">
        <v>35</v>
      </c>
      <c r="C56" s="17">
        <v>38089000</v>
      </c>
      <c r="D56" t="s">
        <v>209</v>
      </c>
      <c r="E56" t="str">
        <f t="shared" si="3"/>
        <v>Less than $350 Million</v>
      </c>
      <c r="F56">
        <f>IF(C56="", "", COUNTIF($C$6:C56,"&gt;0"))</f>
        <v>51</v>
      </c>
      <c r="G56" t="str">
        <f>IF(E56&lt;&gt;'[1]By Asset Category'!$B$1,"",COUNTIF($E$6:E56,'[1]By Asset Category'!$B$1))</f>
        <v/>
      </c>
      <c r="H56" t="s">
        <v>210</v>
      </c>
      <c r="I56" t="s">
        <v>38</v>
      </c>
      <c r="J56" t="s">
        <v>211</v>
      </c>
      <c r="K56" t="s">
        <v>212</v>
      </c>
      <c r="L56" s="33"/>
      <c r="M56" s="34">
        <v>0</v>
      </c>
      <c r="N56" s="19">
        <v>0</v>
      </c>
      <c r="O56" s="19">
        <v>0</v>
      </c>
      <c r="P56" s="19">
        <v>0</v>
      </c>
      <c r="Q56" s="19">
        <f t="shared" si="23"/>
        <v>0</v>
      </c>
      <c r="R56" s="34">
        <v>0</v>
      </c>
      <c r="S56" s="19">
        <v>0</v>
      </c>
      <c r="T56" s="19">
        <v>0</v>
      </c>
      <c r="U56" s="19">
        <v>0</v>
      </c>
      <c r="V56" s="19">
        <f t="shared" si="24"/>
        <v>0</v>
      </c>
      <c r="W56" s="26">
        <v>0</v>
      </c>
      <c r="X56" s="21">
        <v>0</v>
      </c>
      <c r="Y56" s="21">
        <v>500</v>
      </c>
      <c r="Z56" s="21"/>
      <c r="AA56" s="22">
        <f t="shared" si="25"/>
        <v>500</v>
      </c>
      <c r="AB56" s="23"/>
      <c r="AC56" s="21"/>
      <c r="AD56" s="21"/>
      <c r="AE56" s="21"/>
      <c r="AF56" s="35">
        <f t="shared" si="26"/>
        <v>0</v>
      </c>
      <c r="AG56" s="23"/>
      <c r="AH56" s="21"/>
      <c r="AI56" s="21"/>
      <c r="AJ56" s="21"/>
      <c r="AK56" s="25">
        <f t="shared" si="27"/>
        <v>0</v>
      </c>
      <c r="AL56" s="23"/>
      <c r="AM56" s="21"/>
      <c r="AN56" s="21"/>
      <c r="AO56" s="21"/>
      <c r="AP56" s="25">
        <f t="shared" si="28"/>
        <v>0</v>
      </c>
      <c r="AQ56" s="23"/>
      <c r="AR56" s="21"/>
      <c r="AS56" s="21"/>
      <c r="AT56" s="21"/>
      <c r="AU56" s="25">
        <f t="shared" si="29"/>
        <v>0</v>
      </c>
      <c r="AV56" s="23"/>
      <c r="AW56" s="21"/>
      <c r="AX56" s="21"/>
      <c r="AY56" s="21"/>
      <c r="AZ56" s="25">
        <f t="shared" si="21"/>
        <v>0</v>
      </c>
      <c r="BA56" s="23"/>
      <c r="BB56" s="21"/>
      <c r="BC56" s="21"/>
      <c r="BD56" s="21"/>
      <c r="BE56" s="25">
        <f>SUM(BA56:BD56)</f>
        <v>0</v>
      </c>
      <c r="BF56" s="23"/>
      <c r="BG56" s="21"/>
      <c r="BH56" s="21"/>
      <c r="BI56" s="21"/>
      <c r="BJ56" s="25">
        <f>SUM(BF56:BH56)</f>
        <v>0</v>
      </c>
      <c r="BK56" s="23"/>
      <c r="BL56" s="21"/>
      <c r="BM56" s="21"/>
      <c r="BN56" s="21"/>
      <c r="BO56" s="25">
        <f>SUM(BK56:BM56)</f>
        <v>0</v>
      </c>
      <c r="BP56" s="23"/>
      <c r="BQ56" s="21"/>
      <c r="BR56" s="21"/>
      <c r="BS56" s="21"/>
      <c r="BT56" s="25">
        <f t="shared" si="4"/>
        <v>0</v>
      </c>
      <c r="BU56" s="21"/>
      <c r="BV56" s="26"/>
      <c r="BW56" s="21"/>
      <c r="BX56" s="21"/>
      <c r="BY56" s="21"/>
      <c r="BZ56" s="27">
        <f t="shared" si="0"/>
        <v>0</v>
      </c>
      <c r="CA56" s="26"/>
      <c r="CB56" s="21"/>
      <c r="CC56" s="21"/>
      <c r="CD56" s="21"/>
      <c r="CE56" s="27">
        <f t="shared" si="35"/>
        <v>0</v>
      </c>
      <c r="CF56" s="26"/>
      <c r="CG56" s="21"/>
      <c r="CH56" s="21"/>
      <c r="CI56" s="21"/>
      <c r="CJ56" s="27">
        <f t="shared" si="36"/>
        <v>0</v>
      </c>
    </row>
    <row r="57" spans="2:88" x14ac:dyDescent="0.25">
      <c r="B57" t="s">
        <v>53</v>
      </c>
      <c r="C57" s="17">
        <v>92862000</v>
      </c>
      <c r="D57" t="s">
        <v>213</v>
      </c>
      <c r="E57" t="str">
        <f t="shared" si="3"/>
        <v>Less than $350 Million</v>
      </c>
      <c r="F57">
        <f>IF(C57="", "", COUNTIF($C$6:C57,"&gt;0"))</f>
        <v>52</v>
      </c>
      <c r="G57" t="str">
        <f>IF(E57&lt;&gt;'[1]By Asset Category'!$B$1,"",COUNTIF($E$6:E57,'[1]By Asset Category'!$B$1))</f>
        <v/>
      </c>
      <c r="H57" t="s">
        <v>214</v>
      </c>
      <c r="I57" t="s">
        <v>38</v>
      </c>
      <c r="J57" t="s">
        <v>215</v>
      </c>
      <c r="K57" t="s">
        <v>216</v>
      </c>
      <c r="L57" s="33"/>
      <c r="M57" s="34">
        <v>195</v>
      </c>
      <c r="N57" s="19">
        <v>0</v>
      </c>
      <c r="O57" s="19">
        <v>100</v>
      </c>
      <c r="P57" s="19"/>
      <c r="Q57" s="19">
        <f t="shared" si="23"/>
        <v>295</v>
      </c>
      <c r="R57" s="34">
        <v>30</v>
      </c>
      <c r="S57" s="19">
        <v>0</v>
      </c>
      <c r="T57" s="19">
        <v>100</v>
      </c>
      <c r="U57" s="19"/>
      <c r="V57" s="19">
        <f t="shared" si="24"/>
        <v>130</v>
      </c>
      <c r="W57" s="26">
        <v>0</v>
      </c>
      <c r="X57" s="21">
        <v>100</v>
      </c>
      <c r="Y57" s="21">
        <v>200</v>
      </c>
      <c r="Z57" s="21"/>
      <c r="AA57" s="22">
        <f t="shared" si="25"/>
        <v>300</v>
      </c>
      <c r="AB57" s="23">
        <v>95</v>
      </c>
      <c r="AC57" s="21"/>
      <c r="AD57" s="21">
        <v>400</v>
      </c>
      <c r="AE57" s="21"/>
      <c r="AF57" s="35">
        <f t="shared" si="26"/>
        <v>495</v>
      </c>
      <c r="AG57" s="23">
        <v>150</v>
      </c>
      <c r="AH57" s="21">
        <v>100</v>
      </c>
      <c r="AI57" s="21">
        <v>300</v>
      </c>
      <c r="AJ57" s="21"/>
      <c r="AK57" s="25">
        <f t="shared" si="27"/>
        <v>550</v>
      </c>
      <c r="AL57" s="23"/>
      <c r="AM57" s="21"/>
      <c r="AN57" s="21">
        <v>300</v>
      </c>
      <c r="AO57" s="21"/>
      <c r="AP57" s="25">
        <f t="shared" si="28"/>
        <v>300</v>
      </c>
      <c r="AQ57" s="23"/>
      <c r="AR57" s="21"/>
      <c r="AS57" s="21"/>
      <c r="AT57" s="21"/>
      <c r="AU57" s="25">
        <f t="shared" si="29"/>
        <v>0</v>
      </c>
      <c r="AV57" s="23">
        <v>50</v>
      </c>
      <c r="AW57" s="21"/>
      <c r="AX57" s="21">
        <v>250</v>
      </c>
      <c r="AY57" s="21"/>
      <c r="AZ57" s="25">
        <f t="shared" si="21"/>
        <v>300</v>
      </c>
      <c r="BA57" s="23"/>
      <c r="BB57" s="21"/>
      <c r="BC57" s="21">
        <v>250</v>
      </c>
      <c r="BD57" s="21"/>
      <c r="BE57" s="25">
        <f>SUM(BA57:BD57)</f>
        <v>250</v>
      </c>
      <c r="BF57" s="23"/>
      <c r="BG57" s="21"/>
      <c r="BH57" s="21"/>
      <c r="BI57" s="21"/>
      <c r="BJ57" s="25">
        <f>SUM(BF57:BI57)</f>
        <v>0</v>
      </c>
      <c r="BK57" s="23"/>
      <c r="BL57" s="21"/>
      <c r="BM57" s="21">
        <v>250</v>
      </c>
      <c r="BN57" s="21"/>
      <c r="BO57" s="25">
        <f>SUM(BK57:BN57)</f>
        <v>250</v>
      </c>
      <c r="BP57" s="23"/>
      <c r="BQ57" s="21"/>
      <c r="BR57" s="21"/>
      <c r="BS57" s="21"/>
      <c r="BT57" s="25">
        <f t="shared" si="4"/>
        <v>0</v>
      </c>
      <c r="BU57" s="21"/>
      <c r="BV57" s="26"/>
      <c r="BW57" s="21"/>
      <c r="BX57" s="21"/>
      <c r="BY57" s="21"/>
      <c r="BZ57" s="27">
        <f t="shared" si="0"/>
        <v>0</v>
      </c>
      <c r="CA57" s="26"/>
      <c r="CB57" s="21"/>
      <c r="CC57" s="21"/>
      <c r="CD57" s="21"/>
      <c r="CE57" s="27">
        <f t="shared" si="35"/>
        <v>0</v>
      </c>
      <c r="CF57" s="26"/>
      <c r="CG57" s="21"/>
      <c r="CH57" s="21"/>
      <c r="CI57" s="21"/>
      <c r="CJ57" s="27">
        <f t="shared" si="36"/>
        <v>0</v>
      </c>
    </row>
    <row r="58" spans="2:88" x14ac:dyDescent="0.25">
      <c r="B58" t="s">
        <v>35</v>
      </c>
      <c r="C58" s="17">
        <v>86884000</v>
      </c>
      <c r="D58" t="s">
        <v>217</v>
      </c>
      <c r="E58" t="str">
        <f t="shared" si="3"/>
        <v>Less than $350 Million</v>
      </c>
      <c r="F58">
        <f>IF(C58="", "", COUNTIF($C$6:C58,"&gt;0"))</f>
        <v>53</v>
      </c>
      <c r="G58" t="str">
        <f>IF(E58&lt;&gt;'[1]By Asset Category'!$B$1,"",COUNTIF($E$6:E58,'[1]By Asset Category'!$B$1))</f>
        <v/>
      </c>
      <c r="H58" t="s">
        <v>218</v>
      </c>
      <c r="I58" t="s">
        <v>3</v>
      </c>
      <c r="J58" t="s">
        <v>3</v>
      </c>
      <c r="K58" t="s">
        <v>3</v>
      </c>
      <c r="L58" s="33" t="s">
        <v>3</v>
      </c>
      <c r="M58" s="34">
        <v>0</v>
      </c>
      <c r="N58" s="19">
        <v>0</v>
      </c>
      <c r="O58" s="19">
        <v>0</v>
      </c>
      <c r="P58" s="19">
        <v>0</v>
      </c>
      <c r="Q58" s="19">
        <f t="shared" si="23"/>
        <v>0</v>
      </c>
      <c r="R58" s="34">
        <v>0</v>
      </c>
      <c r="S58" s="19">
        <v>0</v>
      </c>
      <c r="T58" s="19">
        <v>0</v>
      </c>
      <c r="U58" s="19">
        <v>0</v>
      </c>
      <c r="V58" s="19">
        <f t="shared" si="24"/>
        <v>0</v>
      </c>
      <c r="W58" s="26">
        <v>0</v>
      </c>
      <c r="X58" s="21">
        <v>0</v>
      </c>
      <c r="Y58" s="21">
        <v>0</v>
      </c>
      <c r="Z58" s="21"/>
      <c r="AA58" s="22">
        <f t="shared" si="25"/>
        <v>0</v>
      </c>
      <c r="AB58" s="23"/>
      <c r="AC58" s="21"/>
      <c r="AD58" s="21"/>
      <c r="AE58" s="21"/>
      <c r="AF58" s="35">
        <f t="shared" si="26"/>
        <v>0</v>
      </c>
      <c r="AG58" s="23"/>
      <c r="AH58" s="21"/>
      <c r="AI58" s="21"/>
      <c r="AJ58" s="21"/>
      <c r="AK58" s="25">
        <f t="shared" si="27"/>
        <v>0</v>
      </c>
      <c r="AL58" s="23"/>
      <c r="AM58" s="21"/>
      <c r="AN58" s="21"/>
      <c r="AO58" s="21"/>
      <c r="AP58" s="25">
        <f t="shared" si="28"/>
        <v>0</v>
      </c>
      <c r="AQ58" s="23"/>
      <c r="AR58" s="21"/>
      <c r="AS58" s="21"/>
      <c r="AT58" s="21"/>
      <c r="AU58" s="25">
        <f t="shared" si="29"/>
        <v>0</v>
      </c>
      <c r="AV58" s="23"/>
      <c r="AW58" s="21"/>
      <c r="AX58" s="21"/>
      <c r="AY58" s="21"/>
      <c r="AZ58" s="25">
        <f t="shared" si="21"/>
        <v>0</v>
      </c>
      <c r="BA58" s="23"/>
      <c r="BB58" s="21"/>
      <c r="BC58" s="21"/>
      <c r="BD58" s="21"/>
      <c r="BE58" s="25">
        <f>SUM(BA58:BD58)</f>
        <v>0</v>
      </c>
      <c r="BF58" s="23"/>
      <c r="BG58" s="21"/>
      <c r="BH58" s="21"/>
      <c r="BI58" s="21"/>
      <c r="BJ58" s="25">
        <f>SUM(BF58:BH58)</f>
        <v>0</v>
      </c>
      <c r="BK58" s="23"/>
      <c r="BL58" s="21"/>
      <c r="BM58" s="21"/>
      <c r="BN58" s="21"/>
      <c r="BO58" s="25">
        <f>SUM(BK58:BM58)</f>
        <v>0</v>
      </c>
      <c r="BP58" s="23"/>
      <c r="BQ58" s="21"/>
      <c r="BR58" s="21"/>
      <c r="BS58" s="21"/>
      <c r="BT58" s="25">
        <f t="shared" si="4"/>
        <v>0</v>
      </c>
      <c r="BU58" s="21"/>
      <c r="BV58" s="26"/>
      <c r="BW58" s="21"/>
      <c r="BX58" s="21"/>
      <c r="BY58" s="21"/>
      <c r="BZ58" s="27">
        <f t="shared" si="0"/>
        <v>0</v>
      </c>
      <c r="CA58" s="26"/>
      <c r="CB58" s="21"/>
      <c r="CC58" s="21"/>
      <c r="CD58" s="21"/>
      <c r="CE58" s="27">
        <f t="shared" si="35"/>
        <v>0</v>
      </c>
      <c r="CF58" s="26"/>
      <c r="CG58" s="21"/>
      <c r="CH58" s="21"/>
      <c r="CI58" s="21"/>
      <c r="CJ58" s="27">
        <f t="shared" si="36"/>
        <v>0</v>
      </c>
    </row>
    <row r="59" spans="2:88" x14ac:dyDescent="0.25">
      <c r="B59" t="s">
        <v>53</v>
      </c>
      <c r="C59" s="17">
        <v>1658323000</v>
      </c>
      <c r="D59" t="s">
        <v>219</v>
      </c>
      <c r="E59" t="str">
        <f t="shared" si="3"/>
        <v>$800 Million - $2 Billion</v>
      </c>
      <c r="F59">
        <f>IF(C59="", "", COUNTIF($C$6:C59,"&gt;0"))</f>
        <v>54</v>
      </c>
      <c r="G59">
        <f>IF(E59&lt;&gt;'[1]By Asset Category'!$B$1,"",COUNTIF($E$6:E59,'[1]By Asset Category'!$B$1))</f>
        <v>15</v>
      </c>
      <c r="H59" t="s">
        <v>220</v>
      </c>
      <c r="I59" t="s">
        <v>38</v>
      </c>
      <c r="J59" t="s">
        <v>221</v>
      </c>
      <c r="K59" t="s">
        <v>222</v>
      </c>
      <c r="L59" s="33" t="s">
        <v>46</v>
      </c>
      <c r="M59" s="34">
        <f>4375+10</f>
        <v>4385</v>
      </c>
      <c r="N59" s="19">
        <f>1450+3095</f>
        <v>4545</v>
      </c>
      <c r="O59" s="19">
        <v>5000</v>
      </c>
      <c r="P59" s="19"/>
      <c r="Q59" s="19">
        <f>SUM(M59:P59)</f>
        <v>13930</v>
      </c>
      <c r="R59" s="34">
        <f>155+4436</f>
        <v>4591</v>
      </c>
      <c r="S59" s="19">
        <f>1600+3680</f>
        <v>5280</v>
      </c>
      <c r="T59" s="19">
        <v>6000</v>
      </c>
      <c r="U59" s="19"/>
      <c r="V59" s="19">
        <f>SUM(R59:U59)</f>
        <v>15871</v>
      </c>
      <c r="W59" s="26">
        <f>145+4385</f>
        <v>4530</v>
      </c>
      <c r="X59" s="21">
        <f>1750+3600</f>
        <v>5350</v>
      </c>
      <c r="Y59" s="21">
        <v>5000</v>
      </c>
      <c r="Z59" s="21"/>
      <c r="AA59" s="22">
        <f>SUM(W59:Z59)</f>
        <v>14880</v>
      </c>
      <c r="AB59" s="23">
        <v>5010</v>
      </c>
      <c r="AC59" s="21">
        <v>4115</v>
      </c>
      <c r="AD59" s="21">
        <v>7500</v>
      </c>
      <c r="AE59" s="21"/>
      <c r="AF59" s="35">
        <f>SUM(AB59:AE59)</f>
        <v>16625</v>
      </c>
      <c r="AG59" s="23">
        <v>5120</v>
      </c>
      <c r="AH59" s="21">
        <v>2850</v>
      </c>
      <c r="AI59" s="21">
        <v>6000</v>
      </c>
      <c r="AJ59" s="21"/>
      <c r="AK59" s="25">
        <f>SUM(AG59:AJ59)</f>
        <v>13970</v>
      </c>
      <c r="AL59" s="23">
        <v>5100</v>
      </c>
      <c r="AM59" s="21">
        <v>2685</v>
      </c>
      <c r="AN59" s="21"/>
      <c r="AO59" s="21"/>
      <c r="AP59" s="25">
        <f>SUM(AL59:AO59)</f>
        <v>7785</v>
      </c>
      <c r="AQ59" s="23">
        <v>4445</v>
      </c>
      <c r="AR59" s="21">
        <v>2600</v>
      </c>
      <c r="AS59" s="21">
        <v>7500</v>
      </c>
      <c r="AT59" s="21"/>
      <c r="AU59" s="25">
        <f>SUM(AQ59:AT59)</f>
        <v>14545</v>
      </c>
      <c r="AV59" s="23">
        <v>3770</v>
      </c>
      <c r="AW59" s="21">
        <v>2425</v>
      </c>
      <c r="AX59" s="21"/>
      <c r="AY59" s="21"/>
      <c r="AZ59" s="25">
        <f>SUM(AV59:AY59)</f>
        <v>6195</v>
      </c>
      <c r="BA59" s="23">
        <v>3765</v>
      </c>
      <c r="BB59" s="21">
        <v>2350</v>
      </c>
      <c r="BC59" s="21">
        <v>5000</v>
      </c>
      <c r="BD59" s="21"/>
      <c r="BE59" s="25">
        <f>SUM(BA59:BD59)</f>
        <v>11115</v>
      </c>
      <c r="BF59" s="23">
        <v>4520</v>
      </c>
      <c r="BG59" s="21">
        <v>2175</v>
      </c>
      <c r="BH59" s="21"/>
      <c r="BI59" s="21"/>
      <c r="BJ59" s="25">
        <f>SUM(BF59:BI59)</f>
        <v>6695</v>
      </c>
      <c r="BK59" s="23">
        <v>5530</v>
      </c>
      <c r="BL59" s="21">
        <v>2125</v>
      </c>
      <c r="BM59" s="21">
        <v>2500</v>
      </c>
      <c r="BN59" s="21"/>
      <c r="BO59" s="25">
        <f>SUM(BK59:BN59)</f>
        <v>10155</v>
      </c>
      <c r="BP59" s="23"/>
      <c r="BQ59" s="21"/>
      <c r="BR59" s="21"/>
      <c r="BS59" s="21"/>
      <c r="BT59" s="25">
        <f t="shared" si="4"/>
        <v>0</v>
      </c>
      <c r="BU59" s="21"/>
      <c r="BV59" s="26">
        <v>3830</v>
      </c>
      <c r="BW59" s="21">
        <v>3000</v>
      </c>
      <c r="BX59" s="21">
        <v>2500</v>
      </c>
      <c r="BY59" s="21"/>
      <c r="BZ59" s="27">
        <f t="shared" si="0"/>
        <v>9330</v>
      </c>
      <c r="CA59" s="26">
        <v>3450</v>
      </c>
      <c r="CB59" s="21">
        <v>2400</v>
      </c>
      <c r="CC59" s="21">
        <v>3000</v>
      </c>
      <c r="CD59" s="21"/>
      <c r="CE59" s="27">
        <f t="shared" si="35"/>
        <v>8850</v>
      </c>
      <c r="CF59" s="26"/>
      <c r="CG59" s="21"/>
      <c r="CH59" s="21"/>
      <c r="CI59" s="21"/>
      <c r="CJ59" s="27">
        <f t="shared" si="36"/>
        <v>0</v>
      </c>
    </row>
    <row r="60" spans="2:88" x14ac:dyDescent="0.25">
      <c r="B60" t="s">
        <v>58</v>
      </c>
      <c r="C60" s="17">
        <v>653304000</v>
      </c>
      <c r="D60" t="s">
        <v>223</v>
      </c>
      <c r="E60" t="str">
        <f t="shared" si="3"/>
        <v>$350 Million - $800 Million</v>
      </c>
      <c r="F60">
        <f>IF(C60="", "", COUNTIF($C$6:C60,"&gt;0"))</f>
        <v>55</v>
      </c>
      <c r="G60" t="str">
        <f>IF(E60&lt;&gt;'[1]By Asset Category'!$B$1,"",COUNTIF($E$6:E60,'[1]By Asset Category'!$B$1))</f>
        <v/>
      </c>
      <c r="H60" t="s">
        <v>224</v>
      </c>
      <c r="I60" t="s">
        <v>38</v>
      </c>
      <c r="J60" t="s">
        <v>225</v>
      </c>
      <c r="K60" t="s">
        <v>226</v>
      </c>
      <c r="L60" s="33"/>
      <c r="M60" s="34"/>
      <c r="N60" s="19"/>
      <c r="O60" s="19"/>
      <c r="P60" s="19"/>
      <c r="Q60" s="19"/>
      <c r="R60" s="34"/>
      <c r="S60" s="19"/>
      <c r="T60" s="19"/>
      <c r="U60" s="19"/>
      <c r="V60" s="19"/>
      <c r="W60" s="26"/>
      <c r="X60" s="21"/>
      <c r="Y60" s="21"/>
      <c r="Z60" s="21"/>
      <c r="AA60" s="22"/>
      <c r="AB60" s="23"/>
      <c r="AC60" s="21"/>
      <c r="AD60" s="21"/>
      <c r="AE60" s="21"/>
      <c r="AF60" s="35"/>
      <c r="AG60" s="23"/>
      <c r="AH60" s="21"/>
      <c r="AI60" s="21"/>
      <c r="AJ60" s="21"/>
      <c r="AK60" s="25"/>
      <c r="AL60" s="23"/>
      <c r="AM60" s="21"/>
      <c r="AN60" s="21"/>
      <c r="AO60" s="21"/>
      <c r="AP60" s="25"/>
      <c r="AQ60" s="23"/>
      <c r="AR60" s="21"/>
      <c r="AS60" s="21"/>
      <c r="AT60" s="21"/>
      <c r="AU60" s="25"/>
      <c r="AV60" s="23"/>
      <c r="AW60" s="21"/>
      <c r="AX60" s="21"/>
      <c r="AY60" s="21"/>
      <c r="AZ60" s="25"/>
      <c r="BA60" s="23"/>
      <c r="BB60" s="21"/>
      <c r="BC60" s="21"/>
      <c r="BD60" s="21"/>
      <c r="BE60" s="25"/>
      <c r="BF60" s="23"/>
      <c r="BG60" s="21"/>
      <c r="BH60" s="21"/>
      <c r="BI60" s="21"/>
      <c r="BJ60" s="25"/>
      <c r="BK60" s="23"/>
      <c r="BL60" s="21"/>
      <c r="BM60" s="21"/>
      <c r="BN60" s="21"/>
      <c r="BO60" s="25"/>
      <c r="BP60" s="23"/>
      <c r="BQ60" s="21"/>
      <c r="BR60" s="21"/>
      <c r="BS60" s="21"/>
      <c r="BT60" s="25">
        <f t="shared" si="4"/>
        <v>0</v>
      </c>
      <c r="BU60" s="21"/>
      <c r="BV60" s="26">
        <v>1650</v>
      </c>
      <c r="BW60" s="21"/>
      <c r="BX60" s="21"/>
      <c r="BY60" s="21"/>
      <c r="BZ60" s="27">
        <f t="shared" si="0"/>
        <v>1650</v>
      </c>
      <c r="CA60" s="26">
        <v>1850</v>
      </c>
      <c r="CB60" s="21"/>
      <c r="CC60" s="21"/>
      <c r="CD60" s="21"/>
      <c r="CE60" s="27">
        <f t="shared" si="35"/>
        <v>1850</v>
      </c>
      <c r="CF60" s="26">
        <v>1850</v>
      </c>
      <c r="CG60" s="21"/>
      <c r="CH60" s="21"/>
      <c r="CI60" s="21"/>
      <c r="CJ60" s="27">
        <f t="shared" si="36"/>
        <v>1850</v>
      </c>
    </row>
    <row r="61" spans="2:88" x14ac:dyDescent="0.25">
      <c r="B61" t="s">
        <v>41</v>
      </c>
      <c r="C61" s="17">
        <v>126056000</v>
      </c>
      <c r="D61" t="s">
        <v>227</v>
      </c>
      <c r="E61" t="str">
        <f t="shared" si="3"/>
        <v>Less than $350 Million</v>
      </c>
      <c r="F61">
        <f>IF(C61="", "", COUNTIF($C$6:C61,"&gt;0"))</f>
        <v>56</v>
      </c>
      <c r="G61" t="str">
        <f>IF(E61&lt;&gt;'[1]By Asset Category'!$B$1,"",COUNTIF($E$6:E61,'[1]By Asset Category'!$B$1))</f>
        <v/>
      </c>
      <c r="H61" s="30" t="s">
        <v>228</v>
      </c>
      <c r="I61" t="s">
        <v>38</v>
      </c>
      <c r="L61" s="33"/>
      <c r="M61" s="34">
        <v>0</v>
      </c>
      <c r="N61" s="19">
        <v>0</v>
      </c>
      <c r="O61" s="19">
        <v>0</v>
      </c>
      <c r="P61" s="19">
        <v>0</v>
      </c>
      <c r="Q61" s="19">
        <f>SUM(M61:P61)</f>
        <v>0</v>
      </c>
      <c r="R61" s="34">
        <v>0</v>
      </c>
      <c r="S61" s="19">
        <v>0</v>
      </c>
      <c r="T61" s="19">
        <v>0</v>
      </c>
      <c r="U61" s="19">
        <v>0</v>
      </c>
      <c r="V61" s="19">
        <f>SUM(R61:U61)</f>
        <v>0</v>
      </c>
      <c r="W61" s="26">
        <v>0</v>
      </c>
      <c r="X61" s="21">
        <v>0</v>
      </c>
      <c r="Y61" s="21">
        <v>0</v>
      </c>
      <c r="Z61" s="21"/>
      <c r="AA61" s="22">
        <f>SUM(W61:Z61)</f>
        <v>0</v>
      </c>
      <c r="AB61" s="23"/>
      <c r="AC61" s="21"/>
      <c r="AD61" s="21"/>
      <c r="AE61" s="21"/>
      <c r="AF61" s="35">
        <f>SUM(AB61:AE61)</f>
        <v>0</v>
      </c>
      <c r="AG61" s="23"/>
      <c r="AH61" s="21"/>
      <c r="AI61" s="21"/>
      <c r="AJ61" s="21"/>
      <c r="AK61" s="25">
        <f>SUM(AG61:AJ61)</f>
        <v>0</v>
      </c>
      <c r="AL61" s="23"/>
      <c r="AM61" s="21"/>
      <c r="AN61" s="21"/>
      <c r="AO61" s="21"/>
      <c r="AP61" s="25">
        <f>SUM(AL61:AO61)</f>
        <v>0</v>
      </c>
      <c r="AQ61" s="23"/>
      <c r="AR61" s="21"/>
      <c r="AS61" s="21"/>
      <c r="AT61" s="21"/>
      <c r="AU61" s="25">
        <f>SUM(AQ61:AT61)</f>
        <v>0</v>
      </c>
      <c r="AV61" s="23"/>
      <c r="AW61" s="21"/>
      <c r="AX61" s="21"/>
      <c r="AY61" s="21"/>
      <c r="AZ61" s="25">
        <f>SUM(AV61:AY61)</f>
        <v>0</v>
      </c>
      <c r="BA61" s="23"/>
      <c r="BB61" s="21"/>
      <c r="BC61" s="21"/>
      <c r="BD61" s="21"/>
      <c r="BE61" s="25">
        <f>SUM(BA61:BD61)</f>
        <v>0</v>
      </c>
      <c r="BF61" s="23"/>
      <c r="BG61" s="21"/>
      <c r="BH61" s="21"/>
      <c r="BI61" s="21"/>
      <c r="BJ61" s="25">
        <f>SUM(BF61:BI61)</f>
        <v>0</v>
      </c>
      <c r="BK61" s="23"/>
      <c r="BL61" s="21"/>
      <c r="BM61" s="21"/>
      <c r="BN61" s="21"/>
      <c r="BO61" s="25">
        <f>SUM(BK61:BN61)</f>
        <v>0</v>
      </c>
      <c r="BP61" s="23"/>
      <c r="BQ61" s="21"/>
      <c r="BR61" s="21">
        <v>500</v>
      </c>
      <c r="BS61" s="21"/>
      <c r="BT61" s="25">
        <f t="shared" si="4"/>
        <v>500</v>
      </c>
      <c r="BU61" s="21"/>
      <c r="BV61" s="26"/>
      <c r="BW61" s="21"/>
      <c r="BX61" s="21"/>
      <c r="BY61" s="21"/>
      <c r="BZ61" s="27">
        <f t="shared" si="0"/>
        <v>0</v>
      </c>
      <c r="CA61" s="26">
        <v>500</v>
      </c>
      <c r="CB61" s="21"/>
      <c r="CC61" s="21"/>
      <c r="CD61" s="21"/>
      <c r="CE61" s="27">
        <f t="shared" si="35"/>
        <v>500</v>
      </c>
      <c r="CF61" s="26"/>
      <c r="CG61" s="21"/>
      <c r="CH61" s="21"/>
      <c r="CI61" s="21"/>
      <c r="CJ61" s="27">
        <f t="shared" si="36"/>
        <v>0</v>
      </c>
    </row>
    <row r="62" spans="2:88" x14ac:dyDescent="0.25">
      <c r="B62" t="s">
        <v>53</v>
      </c>
      <c r="C62" s="17">
        <v>796525000</v>
      </c>
      <c r="D62" t="s">
        <v>229</v>
      </c>
      <c r="E62" t="str">
        <f t="shared" si="3"/>
        <v>$350 Million - $800 Million</v>
      </c>
      <c r="F62">
        <f>IF(C62="", "", COUNTIF($C$6:C62,"&gt;0"))</f>
        <v>57</v>
      </c>
      <c r="G62" t="str">
        <f>IF(E62&lt;&gt;'[1]By Asset Category'!$B$1,"",COUNTIF($E$6:E62,'[1]By Asset Category'!$B$1))</f>
        <v/>
      </c>
      <c r="H62" t="s">
        <v>230</v>
      </c>
      <c r="I62" t="s">
        <v>38</v>
      </c>
      <c r="J62" t="s">
        <v>231</v>
      </c>
      <c r="K62" t="s">
        <v>232</v>
      </c>
      <c r="L62" s="33"/>
      <c r="M62" s="34">
        <v>0</v>
      </c>
      <c r="N62" s="19">
        <v>0</v>
      </c>
      <c r="O62" s="19">
        <v>0</v>
      </c>
      <c r="P62" s="19">
        <v>0</v>
      </c>
      <c r="Q62" s="19">
        <f>SUM(M62:P62)</f>
        <v>0</v>
      </c>
      <c r="R62" s="34">
        <v>0</v>
      </c>
      <c r="S62" s="19">
        <v>0</v>
      </c>
      <c r="T62" s="19">
        <v>0</v>
      </c>
      <c r="U62" s="19">
        <v>0</v>
      </c>
      <c r="V62" s="19">
        <f>SUM(R62:U62)</f>
        <v>0</v>
      </c>
      <c r="W62" s="26">
        <v>0</v>
      </c>
      <c r="X62" s="21">
        <v>0</v>
      </c>
      <c r="Y62" s="21">
        <v>0</v>
      </c>
      <c r="Z62" s="21"/>
      <c r="AA62" s="22">
        <f>SUM(W62:Z62)</f>
        <v>0</v>
      </c>
      <c r="AB62" s="23"/>
      <c r="AC62" s="21"/>
      <c r="AD62" s="21"/>
      <c r="AE62" s="21"/>
      <c r="AF62" s="35">
        <f>SUM(AB62:AE62)</f>
        <v>0</v>
      </c>
      <c r="AG62" s="23"/>
      <c r="AH62" s="21"/>
      <c r="AI62" s="21"/>
      <c r="AJ62" s="21"/>
      <c r="AK62" s="25">
        <f>SUM(AG62:AJ62)</f>
        <v>0</v>
      </c>
      <c r="AL62" s="23"/>
      <c r="AM62" s="21"/>
      <c r="AN62" s="21"/>
      <c r="AO62" s="21"/>
      <c r="AP62" s="25">
        <f>SUM(AL62:AO62)</f>
        <v>0</v>
      </c>
      <c r="AQ62" s="23"/>
      <c r="AR62" s="21"/>
      <c r="AS62" s="21"/>
      <c r="AT62" s="21"/>
      <c r="AU62" s="25">
        <f>SUM(AQ62:AT62)</f>
        <v>0</v>
      </c>
      <c r="AV62" s="23"/>
      <c r="AW62" s="21"/>
      <c r="AX62" s="21"/>
      <c r="AY62" s="21"/>
      <c r="AZ62" s="25">
        <f>SUM(AV62:AY62)</f>
        <v>0</v>
      </c>
      <c r="BA62" s="23"/>
      <c r="BB62" s="21"/>
      <c r="BC62" s="21"/>
      <c r="BD62" s="21"/>
      <c r="BE62" s="25">
        <f>SUM(BA62:BD62)</f>
        <v>0</v>
      </c>
      <c r="BF62" s="23"/>
      <c r="BG62" s="21"/>
      <c r="BH62" s="21"/>
      <c r="BI62" s="21"/>
      <c r="BJ62" s="25">
        <f>SUM(BF62:BI62)</f>
        <v>0</v>
      </c>
      <c r="BK62" s="23"/>
      <c r="BL62" s="21"/>
      <c r="BM62" s="21"/>
      <c r="BN62" s="21"/>
      <c r="BO62" s="25">
        <f>SUM(BK62:BN62)</f>
        <v>0</v>
      </c>
      <c r="BP62" s="23"/>
      <c r="BQ62" s="21"/>
      <c r="BR62" s="21"/>
      <c r="BS62" s="21"/>
      <c r="BT62" s="25">
        <f t="shared" si="4"/>
        <v>0</v>
      </c>
      <c r="BU62" s="21"/>
      <c r="BV62" s="26"/>
      <c r="BW62" s="21"/>
      <c r="BX62" s="21">
        <v>1000</v>
      </c>
      <c r="BY62" s="21"/>
      <c r="BZ62" s="27">
        <f t="shared" si="0"/>
        <v>1000</v>
      </c>
      <c r="CA62" s="26"/>
      <c r="CB62" s="21"/>
      <c r="CC62" s="21">
        <v>1000</v>
      </c>
      <c r="CD62" s="21"/>
      <c r="CE62" s="27">
        <f t="shared" si="35"/>
        <v>1000</v>
      </c>
      <c r="CF62" s="26"/>
      <c r="CG62" s="21"/>
      <c r="CH62" s="21"/>
      <c r="CI62" s="21"/>
      <c r="CJ62" s="27">
        <f t="shared" si="36"/>
        <v>0</v>
      </c>
    </row>
    <row r="63" spans="2:88" x14ac:dyDescent="0.25">
      <c r="B63" t="s">
        <v>58</v>
      </c>
      <c r="C63" s="17">
        <v>313736000</v>
      </c>
      <c r="D63" t="s">
        <v>233</v>
      </c>
      <c r="E63" t="str">
        <f t="shared" si="3"/>
        <v>Less than $350 Million</v>
      </c>
      <c r="F63">
        <f>IF(C63="", "", COUNTIF($C$6:C63,"&gt;0"))</f>
        <v>58</v>
      </c>
      <c r="G63" t="str">
        <f>IF(E63&lt;&gt;'[1]By Asset Category'!$B$1,"",COUNTIF($E$6:E63,'[1]By Asset Category'!$B$1))</f>
        <v/>
      </c>
      <c r="H63" t="s">
        <v>234</v>
      </c>
      <c r="I63" t="s">
        <v>235</v>
      </c>
      <c r="J63" t="s">
        <v>236</v>
      </c>
      <c r="K63" t="s">
        <v>237</v>
      </c>
      <c r="L63" s="33"/>
      <c r="M63" s="34">
        <v>0</v>
      </c>
      <c r="N63" s="19">
        <v>0</v>
      </c>
      <c r="O63" s="19">
        <v>0</v>
      </c>
      <c r="P63" s="19">
        <v>0</v>
      </c>
      <c r="Q63" s="19">
        <f>SUM(M63:P63)</f>
        <v>0</v>
      </c>
      <c r="R63" s="34">
        <v>0</v>
      </c>
      <c r="S63" s="19">
        <v>0</v>
      </c>
      <c r="T63" s="19">
        <v>0</v>
      </c>
      <c r="U63" s="19">
        <v>0</v>
      </c>
      <c r="V63" s="19">
        <f>SUM(R63:U63)</f>
        <v>0</v>
      </c>
      <c r="W63" s="26">
        <v>0</v>
      </c>
      <c r="X63" s="21">
        <v>0</v>
      </c>
      <c r="Y63" s="21">
        <v>0</v>
      </c>
      <c r="Z63" s="21"/>
      <c r="AA63" s="22">
        <f>SUM(W63:Z63)</f>
        <v>0</v>
      </c>
      <c r="AB63" s="23"/>
      <c r="AC63" s="21"/>
      <c r="AD63" s="21"/>
      <c r="AE63" s="21"/>
      <c r="AF63" s="35">
        <f>SUM(AB63:AE63)</f>
        <v>0</v>
      </c>
      <c r="AG63" s="23"/>
      <c r="AH63" s="21"/>
      <c r="AI63" s="21"/>
      <c r="AJ63" s="21"/>
      <c r="AK63" s="25">
        <f>SUM(AG63:AJ63)</f>
        <v>0</v>
      </c>
      <c r="AL63" s="23"/>
      <c r="AM63" s="21"/>
      <c r="AN63" s="21"/>
      <c r="AO63" s="21"/>
      <c r="AP63" s="25">
        <f>SUM(AL63:AO63)</f>
        <v>0</v>
      </c>
      <c r="AQ63" s="23"/>
      <c r="AR63" s="21"/>
      <c r="AS63" s="21"/>
      <c r="AT63" s="21"/>
      <c r="AU63" s="25">
        <f>SUM(AQ63:AT63)</f>
        <v>0</v>
      </c>
      <c r="AV63" s="23"/>
      <c r="AW63" s="21"/>
      <c r="AX63" s="21"/>
      <c r="AY63" s="21"/>
      <c r="AZ63" s="25">
        <f>SUM(AV63:AY63)</f>
        <v>0</v>
      </c>
      <c r="BA63" s="23"/>
      <c r="BB63" s="21"/>
      <c r="BC63" s="21"/>
      <c r="BD63" s="21"/>
      <c r="BE63" s="25">
        <f>SUM(BA63:BD63)</f>
        <v>0</v>
      </c>
      <c r="BF63" s="23"/>
      <c r="BG63" s="21"/>
      <c r="BH63" s="21"/>
      <c r="BI63" s="21"/>
      <c r="BJ63" s="25">
        <f>SUM(BF63:BI63)</f>
        <v>0</v>
      </c>
      <c r="BK63" s="23"/>
      <c r="BL63" s="21"/>
      <c r="BM63" s="21"/>
      <c r="BN63" s="21"/>
      <c r="BO63" s="25">
        <f>SUM(BK63:BN63)</f>
        <v>0</v>
      </c>
      <c r="BP63" s="23"/>
      <c r="BQ63" s="21"/>
      <c r="BR63" s="21"/>
      <c r="BS63" s="21"/>
      <c r="BT63" s="25">
        <f t="shared" si="4"/>
        <v>0</v>
      </c>
      <c r="BU63" s="21"/>
      <c r="BV63" s="26"/>
      <c r="BW63" s="21"/>
      <c r="BX63" s="21"/>
      <c r="BY63" s="21"/>
      <c r="BZ63" s="27">
        <f t="shared" si="0"/>
        <v>0</v>
      </c>
      <c r="CA63" s="26"/>
      <c r="CB63" s="21"/>
      <c r="CC63" s="21"/>
      <c r="CD63" s="21"/>
      <c r="CE63" s="27">
        <f t="shared" si="35"/>
        <v>0</v>
      </c>
      <c r="CF63" s="26"/>
      <c r="CG63" s="21"/>
      <c r="CH63" s="21"/>
      <c r="CI63" s="21"/>
      <c r="CJ63" s="27">
        <f t="shared" si="36"/>
        <v>0</v>
      </c>
    </row>
    <row r="64" spans="2:88" x14ac:dyDescent="0.25">
      <c r="B64" t="s">
        <v>58</v>
      </c>
      <c r="C64" s="17">
        <v>827524000</v>
      </c>
      <c r="D64" t="s">
        <v>238</v>
      </c>
      <c r="E64" t="str">
        <f t="shared" si="3"/>
        <v>$800 Million - $2 Billion</v>
      </c>
      <c r="F64">
        <f>IF(C64="", "", COUNTIF($C$6:C64,"&gt;0"))</f>
        <v>59</v>
      </c>
      <c r="G64">
        <f>IF(E64&lt;&gt;'[1]By Asset Category'!$B$1,"",COUNTIF($E$6:E64,'[1]By Asset Category'!$B$1))</f>
        <v>16</v>
      </c>
      <c r="H64" t="s">
        <v>239</v>
      </c>
      <c r="I64" t="s">
        <v>240</v>
      </c>
      <c r="J64" t="s">
        <v>241</v>
      </c>
      <c r="K64" t="s">
        <v>242</v>
      </c>
      <c r="L64" s="33"/>
      <c r="M64" s="34">
        <v>0</v>
      </c>
      <c r="N64" s="19">
        <v>0</v>
      </c>
      <c r="O64" s="19">
        <v>250</v>
      </c>
      <c r="P64" s="19"/>
      <c r="Q64" s="19">
        <f>SUM(M64:P64)</f>
        <v>250</v>
      </c>
      <c r="R64" s="34">
        <v>0</v>
      </c>
      <c r="S64" s="19">
        <v>0</v>
      </c>
      <c r="T64" s="19">
        <v>250</v>
      </c>
      <c r="U64" s="19"/>
      <c r="V64" s="19">
        <f>SUM(R64:U64)</f>
        <v>250</v>
      </c>
      <c r="W64" s="26">
        <v>0</v>
      </c>
      <c r="X64" s="21">
        <v>0</v>
      </c>
      <c r="Y64" s="21">
        <v>0</v>
      </c>
      <c r="Z64" s="21"/>
      <c r="AA64" s="22">
        <f>SUM(W64:Z64)</f>
        <v>0</v>
      </c>
      <c r="AB64" s="23"/>
      <c r="AC64" s="21"/>
      <c r="AD64" s="21"/>
      <c r="AE64" s="21"/>
      <c r="AF64" s="35">
        <f>SUM(AB64:AE64)</f>
        <v>0</v>
      </c>
      <c r="AG64" s="23">
        <v>250</v>
      </c>
      <c r="AH64" s="21"/>
      <c r="AI64" s="21"/>
      <c r="AJ64" s="21"/>
      <c r="AK64" s="25">
        <f>SUM(AG64:AJ64)</f>
        <v>250</v>
      </c>
      <c r="AL64" s="23"/>
      <c r="AM64" s="21"/>
      <c r="AN64" s="21"/>
      <c r="AO64" s="21"/>
      <c r="AP64" s="25">
        <f>SUM(AL64:AO64)</f>
        <v>0</v>
      </c>
      <c r="AQ64" s="23"/>
      <c r="AR64" s="21"/>
      <c r="AS64" s="21"/>
      <c r="AT64" s="21"/>
      <c r="AU64" s="25">
        <f>SUM(AQ64:AT64)</f>
        <v>0</v>
      </c>
      <c r="AV64" s="23"/>
      <c r="AW64" s="21"/>
      <c r="AX64" s="21"/>
      <c r="AY64" s="21"/>
      <c r="AZ64" s="25">
        <f>SUM(AV64:AY64)</f>
        <v>0</v>
      </c>
      <c r="BA64" s="23"/>
      <c r="BB64" s="21"/>
      <c r="BC64" s="21"/>
      <c r="BD64" s="21"/>
      <c r="BE64" s="25">
        <f>SUM(BA64:BD64)</f>
        <v>0</v>
      </c>
      <c r="BF64" s="23"/>
      <c r="BG64" s="21"/>
      <c r="BH64" s="21"/>
      <c r="BI64" s="21"/>
      <c r="BJ64" s="25">
        <f>SUM(BF64:BH64)</f>
        <v>0</v>
      </c>
      <c r="BK64" s="23"/>
      <c r="BL64" s="21"/>
      <c r="BM64" s="21"/>
      <c r="BN64" s="21"/>
      <c r="BO64" s="25">
        <f>SUM(BK64:BM64)</f>
        <v>0</v>
      </c>
      <c r="BP64" s="23">
        <v>9175</v>
      </c>
      <c r="BQ64" s="21">
        <v>9800</v>
      </c>
      <c r="BR64" s="21"/>
      <c r="BS64" s="21"/>
      <c r="BT64" s="25">
        <f t="shared" si="4"/>
        <v>18975</v>
      </c>
      <c r="BU64" s="21">
        <v>1518.75</v>
      </c>
      <c r="BV64" s="26"/>
      <c r="BW64" s="21"/>
      <c r="BX64" s="21"/>
      <c r="BY64" s="21"/>
      <c r="BZ64" s="27">
        <f t="shared" si="0"/>
        <v>0</v>
      </c>
      <c r="CA64" s="26"/>
      <c r="CB64" s="21"/>
      <c r="CC64" s="21"/>
      <c r="CD64" s="21"/>
      <c r="CE64" s="27">
        <f t="shared" si="35"/>
        <v>0</v>
      </c>
      <c r="CF64" s="26"/>
      <c r="CG64" s="21"/>
      <c r="CH64" s="21"/>
      <c r="CI64" s="21"/>
      <c r="CJ64" s="27">
        <f t="shared" si="36"/>
        <v>0</v>
      </c>
    </row>
    <row r="65" spans="2:88" x14ac:dyDescent="0.25">
      <c r="B65" t="s">
        <v>41</v>
      </c>
      <c r="C65" s="17">
        <v>1267532000</v>
      </c>
      <c r="D65" t="s">
        <v>243</v>
      </c>
      <c r="E65" t="str">
        <f t="shared" si="3"/>
        <v>$800 Million - $2 Billion</v>
      </c>
      <c r="F65">
        <f>IF(C65="", "", COUNTIF($C$6:C65,"&gt;0"))</f>
        <v>60</v>
      </c>
      <c r="G65">
        <f>IF(E65&lt;&gt;'[1]By Asset Category'!$B$1,"",COUNTIF($E$6:E65,'[1]By Asset Category'!$B$1))</f>
        <v>17</v>
      </c>
      <c r="H65" t="s">
        <v>244</v>
      </c>
      <c r="I65" t="s">
        <v>38</v>
      </c>
      <c r="J65" t="s">
        <v>245</v>
      </c>
      <c r="K65" t="s">
        <v>246</v>
      </c>
      <c r="L65" s="33" t="s">
        <v>46</v>
      </c>
      <c r="M65" s="34">
        <v>3110</v>
      </c>
      <c r="N65" s="19">
        <v>2500</v>
      </c>
      <c r="O65" s="19">
        <v>0</v>
      </c>
      <c r="P65" s="19"/>
      <c r="Q65" s="19">
        <f>SUM(M65:P65)</f>
        <v>5610</v>
      </c>
      <c r="R65" s="34">
        <v>3950</v>
      </c>
      <c r="S65" s="19">
        <v>2900</v>
      </c>
      <c r="T65" s="19"/>
      <c r="U65" s="19"/>
      <c r="V65" s="19">
        <f>SUM(R65:U65)</f>
        <v>6850</v>
      </c>
      <c r="W65" s="26">
        <v>4960</v>
      </c>
      <c r="X65" s="21">
        <v>3800</v>
      </c>
      <c r="Y65" s="21">
        <v>0</v>
      </c>
      <c r="Z65" s="21"/>
      <c r="AA65" s="22">
        <f>SUM(W65:Z65)</f>
        <v>8760</v>
      </c>
      <c r="AB65" s="23">
        <v>7220</v>
      </c>
      <c r="AC65" s="21">
        <v>4050</v>
      </c>
      <c r="AD65" s="21"/>
      <c r="AE65" s="21"/>
      <c r="AF65" s="35">
        <f>SUM(AB65:AE65)</f>
        <v>11270</v>
      </c>
      <c r="AG65" s="23">
        <v>7150</v>
      </c>
      <c r="AH65" s="21">
        <v>4850</v>
      </c>
      <c r="AI65" s="21"/>
      <c r="AJ65" s="21"/>
      <c r="AK65" s="25">
        <f>SUM(AG65:AJ65)</f>
        <v>12000</v>
      </c>
      <c r="AL65" s="23">
        <v>7400</v>
      </c>
      <c r="AM65" s="21">
        <v>4650</v>
      </c>
      <c r="AN65" s="21"/>
      <c r="AO65" s="21"/>
      <c r="AP65" s="25">
        <f>SUM(AL65:AO65)</f>
        <v>12050</v>
      </c>
      <c r="AQ65" s="23">
        <v>8023</v>
      </c>
      <c r="AR65" s="21">
        <v>6400</v>
      </c>
      <c r="AS65" s="21"/>
      <c r="AT65" s="21"/>
      <c r="AU65" s="25">
        <f>SUM(AQ65:AT65)</f>
        <v>14423</v>
      </c>
      <c r="AV65" s="23">
        <v>9250</v>
      </c>
      <c r="AW65" s="21">
        <v>5925</v>
      </c>
      <c r="AX65" s="21"/>
      <c r="AY65" s="21"/>
      <c r="AZ65" s="25">
        <f>SUM(AV65:AY65)</f>
        <v>15175</v>
      </c>
      <c r="BA65" s="23">
        <v>9028</v>
      </c>
      <c r="BB65" s="21">
        <v>8275</v>
      </c>
      <c r="BC65" s="21"/>
      <c r="BD65" s="21"/>
      <c r="BE65" s="25">
        <f>SUM(BA65:BD65)</f>
        <v>17303</v>
      </c>
      <c r="BF65" s="23">
        <v>7597</v>
      </c>
      <c r="BG65" s="21">
        <v>9850</v>
      </c>
      <c r="BH65" s="21"/>
      <c r="BI65" s="21"/>
      <c r="BJ65" s="25">
        <f>SUM(BF65:BI65)</f>
        <v>17447</v>
      </c>
      <c r="BK65" s="23">
        <v>8302.5</v>
      </c>
      <c r="BL65" s="21">
        <v>11050</v>
      </c>
      <c r="BM65" s="21"/>
      <c r="BN65" s="21"/>
      <c r="BO65" s="25">
        <f>SUM(BK65:BN65)</f>
        <v>19352.5</v>
      </c>
      <c r="BP65" s="23"/>
      <c r="BQ65" s="21"/>
      <c r="BR65" s="21"/>
      <c r="BS65" s="21"/>
      <c r="BT65" s="25">
        <f t="shared" si="4"/>
        <v>0</v>
      </c>
      <c r="BU65" s="21"/>
      <c r="BV65" s="26">
        <v>3796.97</v>
      </c>
      <c r="BW65" s="21">
        <v>10750</v>
      </c>
      <c r="BX65" s="21"/>
      <c r="BY65" s="21"/>
      <c r="BZ65" s="27">
        <f t="shared" si="0"/>
        <v>14546.97</v>
      </c>
      <c r="CA65" s="26">
        <v>13673.65</v>
      </c>
      <c r="CB65" s="21">
        <v>8600</v>
      </c>
      <c r="CC65" s="21">
        <v>0</v>
      </c>
      <c r="CD65" s="21"/>
      <c r="CE65" s="27">
        <f t="shared" si="35"/>
        <v>22273.65</v>
      </c>
      <c r="CF65" s="26">
        <v>6528.8</v>
      </c>
      <c r="CG65" s="21">
        <v>3100</v>
      </c>
      <c r="CH65" s="21">
        <v>0</v>
      </c>
      <c r="CI65" s="21"/>
      <c r="CJ65" s="27">
        <f t="shared" si="36"/>
        <v>9628.7999999999993</v>
      </c>
    </row>
    <row r="66" spans="2:88" x14ac:dyDescent="0.25">
      <c r="B66" t="s">
        <v>58</v>
      </c>
      <c r="C66" s="17">
        <v>619914000</v>
      </c>
      <c r="D66" t="s">
        <v>247</v>
      </c>
      <c r="E66" t="str">
        <f t="shared" si="3"/>
        <v>$350 Million - $800 Million</v>
      </c>
      <c r="F66">
        <f>IF(C66="", "", COUNTIF($C$6:C66,"&gt;0"))</f>
        <v>61</v>
      </c>
      <c r="G66" t="str">
        <f>IF(E66&lt;&gt;'[1]By Asset Category'!$B$1,"",COUNTIF($E$6:E66,'[1]By Asset Category'!$B$1))</f>
        <v/>
      </c>
      <c r="H66" t="s">
        <v>248</v>
      </c>
      <c r="L66" s="33"/>
      <c r="M66" s="34"/>
      <c r="N66" s="19"/>
      <c r="O66" s="19"/>
      <c r="P66" s="19"/>
      <c r="Q66" s="19"/>
      <c r="R66" s="34"/>
      <c r="S66" s="19"/>
      <c r="T66" s="19"/>
      <c r="U66" s="19"/>
      <c r="V66" s="19"/>
      <c r="W66" s="26"/>
      <c r="X66" s="21"/>
      <c r="Y66" s="21"/>
      <c r="Z66" s="21"/>
      <c r="AA66" s="22"/>
      <c r="AB66" s="23"/>
      <c r="AC66" s="21"/>
      <c r="AD66" s="21"/>
      <c r="AE66" s="21"/>
      <c r="AF66" s="35"/>
      <c r="AG66" s="23"/>
      <c r="AH66" s="21"/>
      <c r="AI66" s="21"/>
      <c r="AJ66" s="21"/>
      <c r="AK66" s="25"/>
      <c r="AL66" s="23"/>
      <c r="AM66" s="21"/>
      <c r="AN66" s="21"/>
      <c r="AO66" s="21"/>
      <c r="AP66" s="25"/>
      <c r="AQ66" s="23"/>
      <c r="AR66" s="21"/>
      <c r="AS66" s="21"/>
      <c r="AT66" s="21"/>
      <c r="AU66" s="25"/>
      <c r="AV66" s="23"/>
      <c r="AW66" s="21"/>
      <c r="AX66" s="21"/>
      <c r="AY66" s="21"/>
      <c r="AZ66" s="25"/>
      <c r="BA66" s="23"/>
      <c r="BB66" s="21"/>
      <c r="BC66" s="21"/>
      <c r="BD66" s="21"/>
      <c r="BE66" s="25"/>
      <c r="BF66" s="23"/>
      <c r="BG66" s="21"/>
      <c r="BH66" s="21"/>
      <c r="BI66" s="21"/>
      <c r="BJ66" s="25"/>
      <c r="BK66" s="23"/>
      <c r="BL66" s="21"/>
      <c r="BM66" s="21"/>
      <c r="BN66" s="21"/>
      <c r="BO66" s="25"/>
      <c r="BP66" s="23"/>
      <c r="BQ66" s="21"/>
      <c r="BR66" s="21"/>
      <c r="BS66" s="21"/>
      <c r="BT66" s="25">
        <f t="shared" si="4"/>
        <v>0</v>
      </c>
      <c r="BU66" s="21"/>
      <c r="BV66" s="26"/>
      <c r="BW66" s="21"/>
      <c r="BX66" s="21"/>
      <c r="BY66" s="21"/>
      <c r="BZ66" s="27">
        <f t="shared" si="0"/>
        <v>0</v>
      </c>
      <c r="CA66" s="26"/>
      <c r="CB66" s="21"/>
      <c r="CC66" s="21"/>
      <c r="CD66" s="21"/>
      <c r="CE66" s="27">
        <f t="shared" si="35"/>
        <v>0</v>
      </c>
      <c r="CF66" s="26"/>
      <c r="CG66" s="21"/>
      <c r="CH66" s="21"/>
      <c r="CI66" s="21"/>
      <c r="CJ66" s="27">
        <f t="shared" si="36"/>
        <v>0</v>
      </c>
    </row>
    <row r="67" spans="2:88" x14ac:dyDescent="0.25">
      <c r="B67" t="s">
        <v>58</v>
      </c>
      <c r="C67" s="17">
        <v>5060426000</v>
      </c>
      <c r="D67" t="s">
        <v>249</v>
      </c>
      <c r="E67" t="str">
        <f t="shared" si="3"/>
        <v>$2 Billion - $10 Billion</v>
      </c>
      <c r="F67">
        <f>IF(C67="", "", COUNTIF($C$6:C67,"&gt;0"))</f>
        <v>62</v>
      </c>
      <c r="G67" t="str">
        <f>IF(E67&lt;&gt;'[1]By Asset Category'!$B$1,"",COUNTIF($E$6:E67,'[1]By Asset Category'!$B$1))</f>
        <v/>
      </c>
      <c r="H67" t="s">
        <v>250</v>
      </c>
      <c r="L67" s="33"/>
      <c r="M67" s="34"/>
      <c r="N67" s="19"/>
      <c r="O67" s="19"/>
      <c r="P67" s="19"/>
      <c r="Q67" s="19"/>
      <c r="R67" s="34"/>
      <c r="S67" s="19"/>
      <c r="T67" s="19"/>
      <c r="U67" s="19"/>
      <c r="V67" s="19"/>
      <c r="W67" s="26"/>
      <c r="X67" s="21"/>
      <c r="Y67" s="21"/>
      <c r="Z67" s="21"/>
      <c r="AA67" s="22"/>
      <c r="AB67" s="23"/>
      <c r="AC67" s="21"/>
      <c r="AD67" s="21"/>
      <c r="AE67" s="21"/>
      <c r="AF67" s="35"/>
      <c r="AG67" s="23"/>
      <c r="AH67" s="21"/>
      <c r="AI67" s="21"/>
      <c r="AJ67" s="21"/>
      <c r="AK67" s="25"/>
      <c r="AL67" s="23"/>
      <c r="AM67" s="21"/>
      <c r="AN67" s="21"/>
      <c r="AO67" s="21"/>
      <c r="AP67" s="25"/>
      <c r="AQ67" s="23"/>
      <c r="AR67" s="21"/>
      <c r="AS67" s="21"/>
      <c r="AT67" s="21"/>
      <c r="AU67" s="25"/>
      <c r="AV67" s="23"/>
      <c r="AW67" s="21"/>
      <c r="AX67" s="21"/>
      <c r="AY67" s="21"/>
      <c r="AZ67" s="25"/>
      <c r="BA67" s="23"/>
      <c r="BB67" s="21"/>
      <c r="BC67" s="21"/>
      <c r="BD67" s="21"/>
      <c r="BE67" s="25"/>
      <c r="BF67" s="23"/>
      <c r="BG67" s="21"/>
      <c r="BH67" s="21"/>
      <c r="BI67" s="21"/>
      <c r="BJ67" s="25"/>
      <c r="BK67" s="23"/>
      <c r="BL67" s="21"/>
      <c r="BM67" s="21"/>
      <c r="BN67" s="21"/>
      <c r="BO67" s="25"/>
      <c r="BP67" s="23"/>
      <c r="BQ67" s="21"/>
      <c r="BR67" s="21"/>
      <c r="BS67" s="21"/>
      <c r="BT67" s="25"/>
      <c r="BU67" s="21"/>
      <c r="BV67" s="26"/>
      <c r="BW67" s="21"/>
      <c r="BX67" s="21"/>
      <c r="BY67" s="21"/>
      <c r="BZ67" s="27"/>
      <c r="CA67" s="26"/>
      <c r="CB67" s="21"/>
      <c r="CC67" s="21"/>
      <c r="CD67" s="21"/>
      <c r="CE67" s="27"/>
      <c r="CF67" s="26"/>
      <c r="CG67" s="21"/>
      <c r="CH67" s="21"/>
      <c r="CI67" s="21"/>
      <c r="CJ67" s="27"/>
    </row>
    <row r="68" spans="2:88" x14ac:dyDescent="0.25">
      <c r="B68" t="s">
        <v>35</v>
      </c>
      <c r="C68" s="17">
        <v>35216904000</v>
      </c>
      <c r="D68" t="s">
        <v>251</v>
      </c>
      <c r="E68" t="str">
        <f t="shared" si="3"/>
        <v>Over $10 Billion</v>
      </c>
      <c r="F68">
        <f>IF(C68="", "", COUNTIF($C$6:C68,"&gt;0"))</f>
        <v>63</v>
      </c>
      <c r="G68" t="str">
        <f>IF(E68&lt;&gt;'[1]By Asset Category'!$B$1,"",COUNTIF($E$6:E68,'[1]By Asset Category'!$B$1))</f>
        <v/>
      </c>
      <c r="H68" t="s">
        <v>252</v>
      </c>
      <c r="I68" t="s">
        <v>253</v>
      </c>
      <c r="J68" t="s">
        <v>254</v>
      </c>
      <c r="K68" t="s">
        <v>255</v>
      </c>
      <c r="L68" s="33"/>
      <c r="M68" s="34">
        <v>1370</v>
      </c>
      <c r="N68" s="19">
        <v>2300</v>
      </c>
      <c r="O68" s="19">
        <v>1000</v>
      </c>
      <c r="P68" s="19"/>
      <c r="Q68" s="19">
        <f t="shared" ref="Q68:Q71" si="37">SUM(M68:P68)</f>
        <v>4670</v>
      </c>
      <c r="R68" s="34">
        <v>1065</v>
      </c>
      <c r="S68" s="19">
        <v>1750</v>
      </c>
      <c r="T68" s="19">
        <v>1000</v>
      </c>
      <c r="U68" s="19"/>
      <c r="V68" s="19">
        <f t="shared" ref="V68:V71" si="38">SUM(R68:U68)</f>
        <v>3815</v>
      </c>
      <c r="W68" s="26">
        <v>980</v>
      </c>
      <c r="X68" s="21">
        <v>1750</v>
      </c>
      <c r="Y68" s="21">
        <v>1000</v>
      </c>
      <c r="Z68" s="21"/>
      <c r="AA68" s="22">
        <f t="shared" ref="AA68:AA71" si="39">SUM(W68:Z68)</f>
        <v>3730</v>
      </c>
      <c r="AB68" s="23">
        <v>900</v>
      </c>
      <c r="AC68" s="21">
        <v>1000</v>
      </c>
      <c r="AD68" s="21">
        <v>1000</v>
      </c>
      <c r="AE68" s="21"/>
      <c r="AF68" s="35">
        <f t="shared" ref="AF68:AF71" si="40">SUM(AB68:AE68)</f>
        <v>2900</v>
      </c>
      <c r="AG68" s="23">
        <v>1200</v>
      </c>
      <c r="AH68" s="21">
        <v>950</v>
      </c>
      <c r="AI68" s="21">
        <v>1000</v>
      </c>
      <c r="AJ68" s="21"/>
      <c r="AK68" s="25">
        <f t="shared" ref="AK68:AK71" si="41">SUM(AG68:AJ68)</f>
        <v>3150</v>
      </c>
      <c r="AL68" s="23">
        <v>1035</v>
      </c>
      <c r="AM68" s="21">
        <v>1350</v>
      </c>
      <c r="AN68" s="21">
        <v>1000</v>
      </c>
      <c r="AO68" s="21"/>
      <c r="AP68" s="25">
        <f t="shared" ref="AP68:AP71" si="42">SUM(AL68:AO68)</f>
        <v>3385</v>
      </c>
      <c r="AQ68" s="23">
        <v>1320</v>
      </c>
      <c r="AR68" s="21">
        <v>2250</v>
      </c>
      <c r="AS68" s="21">
        <v>1000</v>
      </c>
      <c r="AT68" s="21"/>
      <c r="AU68" s="25">
        <f t="shared" ref="AU68:AU71" si="43">SUM(AQ68:AT68)</f>
        <v>4570</v>
      </c>
      <c r="AV68" s="23">
        <v>475</v>
      </c>
      <c r="AW68" s="21">
        <v>700</v>
      </c>
      <c r="AX68" s="21">
        <v>1000</v>
      </c>
      <c r="AY68" s="21"/>
      <c r="AZ68" s="25">
        <f t="shared" ref="AZ68:AZ71" si="44">SUM(AV68:AY68)</f>
        <v>2175</v>
      </c>
      <c r="BA68" s="23">
        <v>420</v>
      </c>
      <c r="BB68" s="21"/>
      <c r="BC68" s="21"/>
      <c r="BD68" s="21"/>
      <c r="BE68" s="25">
        <f t="shared" ref="BE68:BE71" si="45">SUM(BA68:BD68)</f>
        <v>420</v>
      </c>
      <c r="BF68" s="23"/>
      <c r="BG68" s="21"/>
      <c r="BH68" s="21"/>
      <c r="BI68" s="21"/>
      <c r="BJ68" s="25">
        <f>SUM(BF68:BH68)</f>
        <v>0</v>
      </c>
      <c r="BK68" s="23"/>
      <c r="BL68" s="21"/>
      <c r="BM68" s="21"/>
      <c r="BN68" s="21"/>
      <c r="BO68" s="25">
        <f>SUM(BK68:BM68)</f>
        <v>0</v>
      </c>
      <c r="BP68" s="23"/>
      <c r="BQ68" s="21"/>
      <c r="BR68" s="21">
        <v>2500</v>
      </c>
      <c r="BS68" s="21"/>
      <c r="BT68" s="25">
        <f t="shared" ref="BT68:BT101" si="46">SUM(BP68:BS68)</f>
        <v>2500</v>
      </c>
      <c r="BU68" s="21"/>
      <c r="BV68" s="26"/>
      <c r="BW68" s="21"/>
      <c r="BX68" s="21"/>
      <c r="BY68" s="21"/>
      <c r="BZ68" s="27">
        <f t="shared" si="0"/>
        <v>0</v>
      </c>
      <c r="CA68" s="26"/>
      <c r="CB68" s="21"/>
      <c r="CC68" s="21"/>
      <c r="CD68" s="21"/>
      <c r="CE68" s="27">
        <f t="shared" si="35"/>
        <v>0</v>
      </c>
      <c r="CF68" s="26"/>
      <c r="CG68" s="21"/>
      <c r="CH68" s="21"/>
      <c r="CI68" s="21"/>
      <c r="CJ68" s="27">
        <f t="shared" ref="CJ68:CJ72" si="47">SUM(CF68:CI68)</f>
        <v>0</v>
      </c>
    </row>
    <row r="69" spans="2:88" x14ac:dyDescent="0.25">
      <c r="B69" t="s">
        <v>35</v>
      </c>
      <c r="C69" s="17">
        <v>281852000</v>
      </c>
      <c r="D69" t="s">
        <v>256</v>
      </c>
      <c r="E69" t="str">
        <f t="shared" si="3"/>
        <v>Less than $350 Million</v>
      </c>
      <c r="F69">
        <f>IF(C69="", "", COUNTIF($C$6:C69,"&gt;0"))</f>
        <v>64</v>
      </c>
      <c r="G69" t="str">
        <f>IF(E69&lt;&gt;'[1]By Asset Category'!$B$1,"",COUNTIF($E$6:E69,'[1]By Asset Category'!$B$1))</f>
        <v/>
      </c>
      <c r="H69" t="s">
        <v>257</v>
      </c>
      <c r="I69" t="s">
        <v>38</v>
      </c>
      <c r="J69" t="s">
        <v>258</v>
      </c>
      <c r="K69" t="s">
        <v>259</v>
      </c>
      <c r="L69" s="33"/>
      <c r="M69" s="34">
        <v>0</v>
      </c>
      <c r="N69" s="19">
        <v>0</v>
      </c>
      <c r="O69" s="19">
        <v>500</v>
      </c>
      <c r="P69" s="19"/>
      <c r="Q69" s="19">
        <f t="shared" si="37"/>
        <v>500</v>
      </c>
      <c r="R69" s="34">
        <v>0</v>
      </c>
      <c r="S69" s="19">
        <v>0</v>
      </c>
      <c r="T69" s="19">
        <v>500</v>
      </c>
      <c r="U69" s="19"/>
      <c r="V69" s="19">
        <f t="shared" si="38"/>
        <v>500</v>
      </c>
      <c r="W69" s="26">
        <v>0</v>
      </c>
      <c r="X69" s="21">
        <v>0</v>
      </c>
      <c r="Y69" s="21">
        <v>500</v>
      </c>
      <c r="Z69" s="21"/>
      <c r="AA69" s="22">
        <f t="shared" si="39"/>
        <v>500</v>
      </c>
      <c r="AB69" s="23"/>
      <c r="AC69" s="21"/>
      <c r="AD69" s="21"/>
      <c r="AE69" s="21"/>
      <c r="AF69" s="35">
        <f t="shared" si="40"/>
        <v>0</v>
      </c>
      <c r="AG69" s="23"/>
      <c r="AH69" s="21"/>
      <c r="AI69" s="21"/>
      <c r="AJ69" s="21"/>
      <c r="AK69" s="25">
        <f t="shared" si="41"/>
        <v>0</v>
      </c>
      <c r="AL69" s="23"/>
      <c r="AM69" s="21"/>
      <c r="AN69" s="21">
        <v>2000</v>
      </c>
      <c r="AO69" s="21"/>
      <c r="AP69" s="25">
        <f t="shared" si="42"/>
        <v>2000</v>
      </c>
      <c r="AQ69" s="23"/>
      <c r="AR69" s="21"/>
      <c r="AS69" s="21">
        <v>5000</v>
      </c>
      <c r="AT69" s="21"/>
      <c r="AU69" s="25">
        <f t="shared" si="43"/>
        <v>5000</v>
      </c>
      <c r="AV69" s="23"/>
      <c r="AW69" s="21"/>
      <c r="AX69" s="21">
        <v>5000</v>
      </c>
      <c r="AY69" s="21"/>
      <c r="AZ69" s="25">
        <f t="shared" si="44"/>
        <v>5000</v>
      </c>
      <c r="BA69" s="23"/>
      <c r="BB69" s="21"/>
      <c r="BC69" s="21">
        <v>2000</v>
      </c>
      <c r="BD69" s="21"/>
      <c r="BE69" s="25">
        <f t="shared" si="45"/>
        <v>2000</v>
      </c>
      <c r="BF69" s="23"/>
      <c r="BG69" s="21"/>
      <c r="BH69" s="21"/>
      <c r="BI69" s="21"/>
      <c r="BJ69" s="25">
        <f>SUM(BF69:BH69)</f>
        <v>0</v>
      </c>
      <c r="BK69" s="23"/>
      <c r="BL69" s="21"/>
      <c r="BM69" s="21">
        <v>5000</v>
      </c>
      <c r="BN69" s="21"/>
      <c r="BO69" s="25">
        <f>SUM(BK69:BM69)</f>
        <v>5000</v>
      </c>
      <c r="BP69" s="23"/>
      <c r="BQ69" s="21"/>
      <c r="BR69" s="21"/>
      <c r="BS69" s="21"/>
      <c r="BT69" s="25">
        <f t="shared" si="46"/>
        <v>0</v>
      </c>
      <c r="BU69" s="21"/>
      <c r="BV69" s="26"/>
      <c r="BW69" s="21"/>
      <c r="BX69" s="21">
        <v>2500</v>
      </c>
      <c r="BY69" s="21"/>
      <c r="BZ69" s="27">
        <f t="shared" si="0"/>
        <v>2500</v>
      </c>
      <c r="CA69" s="26">
        <v>50</v>
      </c>
      <c r="CB69" s="21"/>
      <c r="CC69" s="21">
        <v>2500</v>
      </c>
      <c r="CD69" s="21"/>
      <c r="CE69" s="27">
        <f t="shared" si="35"/>
        <v>2550</v>
      </c>
      <c r="CF69" s="26"/>
      <c r="CG69" s="21"/>
      <c r="CH69" s="21">
        <v>2500</v>
      </c>
      <c r="CI69" s="21"/>
      <c r="CJ69" s="27">
        <f t="shared" si="47"/>
        <v>2500</v>
      </c>
    </row>
    <row r="70" spans="2:88" x14ac:dyDescent="0.25">
      <c r="B70" t="s">
        <v>47</v>
      </c>
      <c r="C70" s="17">
        <v>453973605000</v>
      </c>
      <c r="D70" t="s">
        <v>260</v>
      </c>
      <c r="E70" t="str">
        <f t="shared" si="3"/>
        <v>Over $10 Billion</v>
      </c>
      <c r="F70">
        <f>IF(C70="", "", COUNTIF($C$6:C70,"&gt;0"))</f>
        <v>65</v>
      </c>
      <c r="G70" t="str">
        <f>IF(E70&lt;&gt;'[1]By Asset Category'!$B$1,"",COUNTIF($E$6:E70,'[1]By Asset Category'!$B$1))</f>
        <v/>
      </c>
      <c r="H70" t="s">
        <v>261</v>
      </c>
      <c r="I70" t="s">
        <v>262</v>
      </c>
      <c r="J70" t="s">
        <v>263</v>
      </c>
      <c r="K70" t="s">
        <v>264</v>
      </c>
      <c r="L70" s="33"/>
      <c r="M70" s="34"/>
      <c r="N70" s="19"/>
      <c r="O70" s="19"/>
      <c r="P70" s="19"/>
      <c r="Q70" s="19">
        <f t="shared" si="37"/>
        <v>0</v>
      </c>
      <c r="R70" s="34"/>
      <c r="S70" s="19"/>
      <c r="T70" s="19"/>
      <c r="U70" s="19"/>
      <c r="V70" s="19">
        <f t="shared" si="38"/>
        <v>0</v>
      </c>
      <c r="W70" s="26"/>
      <c r="X70" s="21"/>
      <c r="Y70" s="21"/>
      <c r="Z70" s="21"/>
      <c r="AA70" s="22">
        <f t="shared" si="39"/>
        <v>0</v>
      </c>
      <c r="AB70" s="23"/>
      <c r="AC70" s="21"/>
      <c r="AD70" s="21"/>
      <c r="AE70" s="21"/>
      <c r="AF70" s="35">
        <f t="shared" si="40"/>
        <v>0</v>
      </c>
      <c r="AG70" s="23"/>
      <c r="AH70" s="21"/>
      <c r="AI70" s="21"/>
      <c r="AJ70" s="21"/>
      <c r="AK70" s="25">
        <f t="shared" si="41"/>
        <v>0</v>
      </c>
      <c r="AL70" s="23"/>
      <c r="AM70" s="21"/>
      <c r="AN70" s="21"/>
      <c r="AO70" s="21"/>
      <c r="AP70" s="25">
        <f t="shared" si="42"/>
        <v>0</v>
      </c>
      <c r="AQ70" s="23"/>
      <c r="AR70" s="21"/>
      <c r="AS70" s="21"/>
      <c r="AT70" s="21"/>
      <c r="AU70" s="25">
        <f t="shared" si="43"/>
        <v>0</v>
      </c>
      <c r="AV70" s="23"/>
      <c r="AW70" s="21"/>
      <c r="AX70" s="21"/>
      <c r="AY70" s="21"/>
      <c r="AZ70" s="25">
        <f t="shared" si="44"/>
        <v>0</v>
      </c>
      <c r="BA70" s="23"/>
      <c r="BB70" s="21"/>
      <c r="BC70" s="21"/>
      <c r="BD70" s="21"/>
      <c r="BE70" s="25">
        <f t="shared" si="45"/>
        <v>0</v>
      </c>
      <c r="BF70" s="23"/>
      <c r="BG70" s="21"/>
      <c r="BH70" s="21"/>
      <c r="BI70" s="21"/>
      <c r="BJ70" s="25"/>
      <c r="BK70" s="23"/>
      <c r="BL70" s="21"/>
      <c r="BM70" s="21"/>
      <c r="BN70" s="21"/>
      <c r="BO70" s="25"/>
      <c r="BP70" s="23">
        <v>1825</v>
      </c>
      <c r="BQ70" s="21">
        <v>1400</v>
      </c>
      <c r="BR70" s="21">
        <v>1400</v>
      </c>
      <c r="BS70" s="21"/>
      <c r="BT70" s="25">
        <f t="shared" si="46"/>
        <v>4625</v>
      </c>
      <c r="BU70" s="21">
        <v>1000</v>
      </c>
      <c r="BV70" s="26"/>
      <c r="BW70" s="21"/>
      <c r="BX70" s="21">
        <v>1500</v>
      </c>
      <c r="BY70" s="21"/>
      <c r="BZ70" s="27">
        <f t="shared" si="0"/>
        <v>1500</v>
      </c>
      <c r="CA70" s="26"/>
      <c r="CB70" s="21"/>
      <c r="CC70" s="21">
        <v>2000</v>
      </c>
      <c r="CD70" s="21"/>
      <c r="CE70" s="27">
        <f t="shared" si="35"/>
        <v>2000</v>
      </c>
      <c r="CF70" s="26"/>
      <c r="CG70" s="21"/>
      <c r="CH70" s="21"/>
      <c r="CI70" s="21"/>
      <c r="CJ70" s="27">
        <f t="shared" si="47"/>
        <v>0</v>
      </c>
    </row>
    <row r="71" spans="2:88" x14ac:dyDescent="0.25">
      <c r="B71" t="s">
        <v>53</v>
      </c>
      <c r="C71" s="17">
        <v>412975000</v>
      </c>
      <c r="D71" t="s">
        <v>265</v>
      </c>
      <c r="E71" t="str">
        <f t="shared" ref="E71:E101" si="48">+IF(C71="","",IF(C71&gt;10000000000,"Over $10 Billion",IF(C71&gt;2000000000,"$2 Billion - $10 Billion",IF(C71&gt;800000000,"$800 Million - $2 Billion",IF(C71&gt;350000000,"$350 Million - $800 Million","Less than $350 Million")))))</f>
        <v>$350 Million - $800 Million</v>
      </c>
      <c r="F71">
        <f>IF(C71="", "", COUNTIF($C$6:C71,"&gt;0"))</f>
        <v>66</v>
      </c>
      <c r="G71" t="str">
        <f>IF(E71&lt;&gt;'[1]By Asset Category'!$B$1,"",COUNTIF($E$6:E71,'[1]By Asset Category'!$B$1))</f>
        <v/>
      </c>
      <c r="H71" t="s">
        <v>266</v>
      </c>
      <c r="I71" t="s">
        <v>91</v>
      </c>
      <c r="J71" t="s">
        <v>267</v>
      </c>
      <c r="K71" t="s">
        <v>268</v>
      </c>
      <c r="L71" s="33" t="s">
        <v>3</v>
      </c>
      <c r="M71" s="34">
        <v>460</v>
      </c>
      <c r="N71" s="19">
        <v>500</v>
      </c>
      <c r="O71" s="19">
        <v>1000</v>
      </c>
      <c r="P71" s="19"/>
      <c r="Q71" s="19">
        <f t="shared" si="37"/>
        <v>1960</v>
      </c>
      <c r="R71" s="34">
        <v>775</v>
      </c>
      <c r="S71" s="19">
        <v>0</v>
      </c>
      <c r="T71" s="19">
        <v>1000</v>
      </c>
      <c r="U71" s="19"/>
      <c r="V71" s="19">
        <f t="shared" si="38"/>
        <v>1775</v>
      </c>
      <c r="W71" s="26">
        <v>600</v>
      </c>
      <c r="X71" s="21">
        <v>200</v>
      </c>
      <c r="Y71" s="21">
        <v>1000</v>
      </c>
      <c r="Z71" s="21"/>
      <c r="AA71" s="22">
        <f t="shared" si="39"/>
        <v>1800</v>
      </c>
      <c r="AB71" s="23">
        <v>775</v>
      </c>
      <c r="AC71" s="21">
        <v>250</v>
      </c>
      <c r="AD71" s="21">
        <v>1500</v>
      </c>
      <c r="AE71" s="21"/>
      <c r="AF71" s="35">
        <f t="shared" si="40"/>
        <v>2525</v>
      </c>
      <c r="AG71" s="23">
        <v>1250</v>
      </c>
      <c r="AH71" s="21">
        <v>150</v>
      </c>
      <c r="AI71" s="21">
        <v>1000</v>
      </c>
      <c r="AJ71" s="21"/>
      <c r="AK71" s="25">
        <f t="shared" si="41"/>
        <v>2400</v>
      </c>
      <c r="AL71" s="23">
        <v>1100</v>
      </c>
      <c r="AM71" s="21">
        <v>350</v>
      </c>
      <c r="AN71" s="21">
        <v>1000</v>
      </c>
      <c r="AO71" s="21"/>
      <c r="AP71" s="25">
        <f t="shared" si="42"/>
        <v>2450</v>
      </c>
      <c r="AQ71" s="23">
        <v>1840</v>
      </c>
      <c r="AR71" s="21">
        <v>300</v>
      </c>
      <c r="AS71" s="21">
        <v>1000</v>
      </c>
      <c r="AT71" s="21"/>
      <c r="AU71" s="25">
        <f t="shared" si="43"/>
        <v>3140</v>
      </c>
      <c r="AV71" s="23">
        <v>1610</v>
      </c>
      <c r="AW71" s="21">
        <v>350</v>
      </c>
      <c r="AX71" s="21">
        <v>1350</v>
      </c>
      <c r="AY71" s="21"/>
      <c r="AZ71" s="25">
        <f t="shared" si="44"/>
        <v>3310</v>
      </c>
      <c r="BA71" s="23">
        <v>1815</v>
      </c>
      <c r="BB71" s="21">
        <v>800</v>
      </c>
      <c r="BC71" s="21">
        <v>1350</v>
      </c>
      <c r="BD71" s="21"/>
      <c r="BE71" s="25">
        <f t="shared" si="45"/>
        <v>3965</v>
      </c>
      <c r="BF71" s="23">
        <v>1750</v>
      </c>
      <c r="BG71" s="21">
        <v>800</v>
      </c>
      <c r="BH71" s="21">
        <v>1400</v>
      </c>
      <c r="BI71" s="21"/>
      <c r="BJ71" s="25">
        <f>SUM(BF71:BI71)</f>
        <v>3950</v>
      </c>
      <c r="BK71" s="23">
        <v>1725</v>
      </c>
      <c r="BL71" s="21">
        <v>1750</v>
      </c>
      <c r="BM71" s="21">
        <v>1400</v>
      </c>
      <c r="BN71" s="21"/>
      <c r="BO71" s="25">
        <f>SUM(BK71:BN71)</f>
        <v>4875</v>
      </c>
      <c r="BP71" s="23"/>
      <c r="BQ71" s="21"/>
      <c r="BR71" s="21"/>
      <c r="BS71" s="21"/>
      <c r="BT71" s="25">
        <f t="shared" si="46"/>
        <v>0</v>
      </c>
      <c r="BU71" s="21"/>
      <c r="BV71" s="26">
        <v>3770</v>
      </c>
      <c r="BW71" s="21">
        <v>1700</v>
      </c>
      <c r="BX71" s="21">
        <v>1400</v>
      </c>
      <c r="BY71" s="21"/>
      <c r="BZ71" s="27">
        <f t="shared" si="0"/>
        <v>6870</v>
      </c>
      <c r="CA71" s="26">
        <v>4000</v>
      </c>
      <c r="CB71" s="21">
        <v>1050</v>
      </c>
      <c r="CC71" s="21">
        <v>1750</v>
      </c>
      <c r="CD71" s="21"/>
      <c r="CE71" s="27">
        <f t="shared" si="35"/>
        <v>6800</v>
      </c>
      <c r="CF71" s="26">
        <v>3825</v>
      </c>
      <c r="CG71" s="21">
        <v>200</v>
      </c>
      <c r="CH71" s="21"/>
      <c r="CI71" s="21"/>
      <c r="CJ71" s="27">
        <f t="shared" si="47"/>
        <v>4025</v>
      </c>
    </row>
    <row r="72" spans="2:88" x14ac:dyDescent="0.25">
      <c r="B72" t="s">
        <v>58</v>
      </c>
      <c r="C72" s="17">
        <v>884999000</v>
      </c>
      <c r="D72" t="s">
        <v>269</v>
      </c>
      <c r="E72" t="str">
        <f t="shared" si="48"/>
        <v>$800 Million - $2 Billion</v>
      </c>
      <c r="F72">
        <f>IF(C72="", "", COUNTIF($C$6:C72,"&gt;0"))</f>
        <v>67</v>
      </c>
      <c r="G72">
        <f>IF(E72&lt;&gt;'[1]By Asset Category'!$B$1,"",COUNTIF($E$6:E72,'[1]By Asset Category'!$B$1))</f>
        <v>18</v>
      </c>
      <c r="H72" t="s">
        <v>270</v>
      </c>
      <c r="I72" t="s">
        <v>100</v>
      </c>
      <c r="J72" t="s">
        <v>271</v>
      </c>
      <c r="K72" t="s">
        <v>272</v>
      </c>
      <c r="L72" s="33"/>
      <c r="M72" s="34"/>
      <c r="N72" s="19"/>
      <c r="O72" s="19"/>
      <c r="P72" s="19"/>
      <c r="Q72" s="19"/>
      <c r="R72" s="34"/>
      <c r="S72" s="19"/>
      <c r="T72" s="19"/>
      <c r="U72" s="19"/>
      <c r="V72" s="19"/>
      <c r="W72" s="26"/>
      <c r="X72" s="21"/>
      <c r="Y72" s="21"/>
      <c r="Z72" s="21"/>
      <c r="AA72" s="22"/>
      <c r="AB72" s="23"/>
      <c r="AC72" s="21"/>
      <c r="AD72" s="21"/>
      <c r="AE72" s="21"/>
      <c r="AF72" s="35"/>
      <c r="AG72" s="23"/>
      <c r="AH72" s="21"/>
      <c r="AI72" s="21"/>
      <c r="AJ72" s="21"/>
      <c r="AK72" s="25"/>
      <c r="AL72" s="23"/>
      <c r="AM72" s="21"/>
      <c r="AN72" s="21"/>
      <c r="AO72" s="21"/>
      <c r="AP72" s="25"/>
      <c r="AQ72" s="23"/>
      <c r="AR72" s="21"/>
      <c r="AS72" s="21"/>
      <c r="AT72" s="21"/>
      <c r="AU72" s="25"/>
      <c r="AV72" s="23"/>
      <c r="AW72" s="21"/>
      <c r="AX72" s="21"/>
      <c r="AY72" s="21"/>
      <c r="AZ72" s="25"/>
      <c r="BA72" s="23"/>
      <c r="BB72" s="21"/>
      <c r="BC72" s="21"/>
      <c r="BD72" s="21"/>
      <c r="BE72" s="25"/>
      <c r="BF72" s="23"/>
      <c r="BG72" s="21"/>
      <c r="BH72" s="21"/>
      <c r="BI72" s="21"/>
      <c r="BJ72" s="25"/>
      <c r="BK72" s="23"/>
      <c r="BL72" s="21"/>
      <c r="BM72" s="21"/>
      <c r="BN72" s="21"/>
      <c r="BO72" s="25"/>
      <c r="BP72" s="23"/>
      <c r="BQ72" s="21"/>
      <c r="BR72" s="21"/>
      <c r="BS72" s="21"/>
      <c r="BT72" s="25">
        <f t="shared" si="46"/>
        <v>0</v>
      </c>
      <c r="BU72" s="21"/>
      <c r="BV72" s="26"/>
      <c r="BW72" s="21"/>
      <c r="BX72" s="21"/>
      <c r="BY72" s="21"/>
      <c r="BZ72" s="27">
        <f t="shared" ref="BZ72:BZ101" si="49">SUM(BV72:BY72)</f>
        <v>0</v>
      </c>
      <c r="CA72" s="26"/>
      <c r="CB72" s="21"/>
      <c r="CC72" s="21"/>
      <c r="CD72" s="21"/>
      <c r="CE72" s="27">
        <f t="shared" si="35"/>
        <v>0</v>
      </c>
      <c r="CF72" s="26"/>
      <c r="CG72" s="21"/>
      <c r="CH72" s="21"/>
      <c r="CI72" s="21"/>
      <c r="CJ72" s="27">
        <f t="shared" si="47"/>
        <v>0</v>
      </c>
    </row>
    <row r="73" spans="2:88" x14ac:dyDescent="0.25">
      <c r="C73" s="17">
        <v>5127920000</v>
      </c>
      <c r="D73" t="s">
        <v>273</v>
      </c>
      <c r="E73" t="str">
        <f t="shared" si="48"/>
        <v>$2 Billion - $10 Billion</v>
      </c>
      <c r="F73">
        <f>IF(C73="", "", COUNTIF($C$6:C73,"&gt;0"))</f>
        <v>68</v>
      </c>
      <c r="G73" t="str">
        <f>IF(E73&lt;&gt;'[1]By Asset Category'!$B$1,"",COUNTIF($E$6:E73,'[1]By Asset Category'!$B$1))</f>
        <v/>
      </c>
      <c r="H73" t="s">
        <v>274</v>
      </c>
      <c r="L73" s="33"/>
      <c r="M73" s="34"/>
      <c r="N73" s="19"/>
      <c r="O73" s="19"/>
      <c r="P73" s="19"/>
      <c r="Q73" s="19"/>
      <c r="R73" s="34"/>
      <c r="S73" s="19"/>
      <c r="T73" s="19"/>
      <c r="U73" s="19"/>
      <c r="V73" s="19"/>
      <c r="W73" s="26"/>
      <c r="X73" s="21"/>
      <c r="Y73" s="21"/>
      <c r="Z73" s="21"/>
      <c r="AA73" s="22"/>
      <c r="AB73" s="23"/>
      <c r="AC73" s="21"/>
      <c r="AD73" s="21"/>
      <c r="AE73" s="21"/>
      <c r="AF73" s="35"/>
      <c r="AG73" s="23"/>
      <c r="AH73" s="21"/>
      <c r="AI73" s="21"/>
      <c r="AJ73" s="21"/>
      <c r="AK73" s="25"/>
      <c r="AL73" s="23"/>
      <c r="AM73" s="21"/>
      <c r="AN73" s="21"/>
      <c r="AO73" s="21"/>
      <c r="AP73" s="25"/>
      <c r="AQ73" s="23"/>
      <c r="AR73" s="21"/>
      <c r="AS73" s="21"/>
      <c r="AT73" s="21"/>
      <c r="AU73" s="25"/>
      <c r="AV73" s="23"/>
      <c r="AW73" s="21"/>
      <c r="AX73" s="21"/>
      <c r="AY73" s="21"/>
      <c r="AZ73" s="25"/>
      <c r="BA73" s="23"/>
      <c r="BB73" s="21"/>
      <c r="BC73" s="21"/>
      <c r="BD73" s="21"/>
      <c r="BE73" s="25"/>
      <c r="BF73" s="23"/>
      <c r="BG73" s="21"/>
      <c r="BH73" s="21"/>
      <c r="BI73" s="21"/>
      <c r="BJ73" s="25"/>
      <c r="BK73" s="23"/>
      <c r="BL73" s="21"/>
      <c r="BM73" s="21"/>
      <c r="BN73" s="21"/>
      <c r="BO73" s="25"/>
      <c r="BP73" s="23"/>
      <c r="BQ73" s="21"/>
      <c r="BR73" s="21"/>
      <c r="BS73" s="21"/>
      <c r="BT73" s="25"/>
      <c r="BU73" s="21"/>
      <c r="BV73" s="26"/>
      <c r="BW73" s="21"/>
      <c r="BX73" s="21"/>
      <c r="BY73" s="21"/>
      <c r="BZ73" s="27"/>
      <c r="CA73" s="26"/>
      <c r="CB73" s="21"/>
      <c r="CC73" s="21"/>
      <c r="CD73" s="21"/>
      <c r="CE73" s="27"/>
      <c r="CF73" s="26"/>
      <c r="CG73" s="21"/>
      <c r="CH73" s="21"/>
      <c r="CI73" s="21"/>
      <c r="CJ73" s="27"/>
    </row>
    <row r="74" spans="2:88" x14ac:dyDescent="0.25">
      <c r="B74" t="s">
        <v>58</v>
      </c>
      <c r="C74" s="17">
        <v>12912358000</v>
      </c>
      <c r="D74" t="s">
        <v>275</v>
      </c>
      <c r="E74" t="str">
        <f t="shared" si="48"/>
        <v>Over $10 Billion</v>
      </c>
      <c r="F74">
        <f>IF(C74="", "", COUNTIF($C$6:C74,"&gt;0"))</f>
        <v>69</v>
      </c>
      <c r="G74" t="str">
        <f>IF(E74&lt;&gt;'[1]By Asset Category'!$B$1,"",COUNTIF($E$6:E74,'[1]By Asset Category'!$B$1))</f>
        <v/>
      </c>
      <c r="H74" t="s">
        <v>276</v>
      </c>
      <c r="I74" t="s">
        <v>38</v>
      </c>
      <c r="J74" t="s">
        <v>277</v>
      </c>
      <c r="K74" t="s">
        <v>278</v>
      </c>
      <c r="L74" s="33" t="s">
        <v>3</v>
      </c>
      <c r="M74" s="34">
        <v>0</v>
      </c>
      <c r="N74" s="19">
        <v>0</v>
      </c>
      <c r="O74" s="19">
        <v>0</v>
      </c>
      <c r="P74" s="19">
        <v>0</v>
      </c>
      <c r="Q74" s="19">
        <f>SUM(M74:P74)</f>
        <v>0</v>
      </c>
      <c r="R74" s="34">
        <v>0</v>
      </c>
      <c r="S74" s="19">
        <v>0</v>
      </c>
      <c r="T74" s="19">
        <v>0</v>
      </c>
      <c r="U74" s="19">
        <v>0</v>
      </c>
      <c r="V74" s="19">
        <f>SUM(R74:U74)</f>
        <v>0</v>
      </c>
      <c r="W74" s="26">
        <v>0</v>
      </c>
      <c r="X74" s="21">
        <v>0</v>
      </c>
      <c r="Y74" s="21">
        <v>2500</v>
      </c>
      <c r="Z74" s="21"/>
      <c r="AA74" s="22">
        <f>SUM(W74:Z74)</f>
        <v>2500</v>
      </c>
      <c r="AB74" s="23"/>
      <c r="AC74" s="21"/>
      <c r="AD74" s="21">
        <v>2500</v>
      </c>
      <c r="AE74" s="21"/>
      <c r="AF74" s="35">
        <f>SUM(AB74:AE74)</f>
        <v>2500</v>
      </c>
      <c r="AG74" s="23"/>
      <c r="AH74" s="21"/>
      <c r="AI74" s="21">
        <v>2500</v>
      </c>
      <c r="AJ74" s="21"/>
      <c r="AK74" s="25">
        <f>SUM(AG74:AJ74)</f>
        <v>2500</v>
      </c>
      <c r="AL74" s="23"/>
      <c r="AM74" s="21"/>
      <c r="AN74" s="21">
        <v>2500</v>
      </c>
      <c r="AO74" s="21"/>
      <c r="AP74" s="25">
        <f>SUM(AL74:AO74)</f>
        <v>2500</v>
      </c>
      <c r="AQ74" s="23"/>
      <c r="AR74" s="21"/>
      <c r="AS74" s="21"/>
      <c r="AT74" s="21"/>
      <c r="AU74" s="25">
        <f>SUM(AQ74:AT74)</f>
        <v>0</v>
      </c>
      <c r="AV74" s="23"/>
      <c r="AW74" s="21"/>
      <c r="AX74" s="21"/>
      <c r="AY74" s="21"/>
      <c r="AZ74" s="25">
        <f>SUM(AV74:AY74)</f>
        <v>0</v>
      </c>
      <c r="BA74" s="23"/>
      <c r="BB74" s="21"/>
      <c r="BC74" s="21">
        <v>1500</v>
      </c>
      <c r="BD74" s="21"/>
      <c r="BE74" s="25">
        <f>SUM(BA74:BD74)</f>
        <v>1500</v>
      </c>
      <c r="BF74" s="23"/>
      <c r="BG74" s="21"/>
      <c r="BH74" s="21">
        <v>1500</v>
      </c>
      <c r="BI74" s="21"/>
      <c r="BJ74" s="25">
        <f>SUM(BF74:BI74)</f>
        <v>1500</v>
      </c>
      <c r="BK74" s="23"/>
      <c r="BL74" s="21"/>
      <c r="BM74" s="21"/>
      <c r="BN74" s="21"/>
      <c r="BO74" s="25">
        <f>SUM(BK74:BN74)</f>
        <v>0</v>
      </c>
      <c r="BP74" s="23"/>
      <c r="BQ74" s="21"/>
      <c r="BR74" s="21"/>
      <c r="BS74" s="21"/>
      <c r="BT74" s="25">
        <f t="shared" si="46"/>
        <v>0</v>
      </c>
      <c r="BU74" s="21"/>
      <c r="BV74" s="26"/>
      <c r="BW74" s="21"/>
      <c r="BX74" s="21">
        <v>2500</v>
      </c>
      <c r="BY74" s="21"/>
      <c r="BZ74" s="27">
        <f t="shared" si="49"/>
        <v>2500</v>
      </c>
      <c r="CA74" s="26">
        <v>100</v>
      </c>
      <c r="CB74" s="21"/>
      <c r="CC74" s="21"/>
      <c r="CD74" s="21"/>
      <c r="CE74" s="27">
        <f t="shared" si="35"/>
        <v>100</v>
      </c>
      <c r="CF74" s="26"/>
      <c r="CG74" s="21"/>
      <c r="CH74" s="21"/>
      <c r="CI74" s="21"/>
      <c r="CJ74" s="27">
        <f t="shared" ref="CJ74:CJ92" si="50">SUM(CF74:CI74)</f>
        <v>0</v>
      </c>
    </row>
    <row r="75" spans="2:88" x14ac:dyDescent="0.25">
      <c r="B75" t="s">
        <v>35</v>
      </c>
      <c r="C75" s="17">
        <v>368879000</v>
      </c>
      <c r="D75" t="s">
        <v>279</v>
      </c>
      <c r="E75" t="str">
        <f t="shared" si="48"/>
        <v>$350 Million - $800 Million</v>
      </c>
      <c r="F75">
        <f>IF(C75="", "", COUNTIF($C$6:C75,"&gt;0"))</f>
        <v>70</v>
      </c>
      <c r="G75" t="str">
        <f>IF(E75&lt;&gt;'[1]By Asset Category'!$B$1,"",COUNTIF($E$6:E75,'[1]By Asset Category'!$B$1))</f>
        <v/>
      </c>
      <c r="H75" t="s">
        <v>280</v>
      </c>
      <c r="I75" t="s">
        <v>91</v>
      </c>
      <c r="J75" t="s">
        <v>281</v>
      </c>
      <c r="K75" t="s">
        <v>282</v>
      </c>
      <c r="L75" s="33"/>
      <c r="M75" s="34">
        <v>0</v>
      </c>
      <c r="N75" s="19">
        <v>0</v>
      </c>
      <c r="O75" s="19">
        <v>0</v>
      </c>
      <c r="P75" s="19">
        <v>0</v>
      </c>
      <c r="Q75" s="19">
        <f>SUM(M75:P75)</f>
        <v>0</v>
      </c>
      <c r="R75" s="34">
        <v>0</v>
      </c>
      <c r="S75" s="19">
        <v>0</v>
      </c>
      <c r="T75" s="19">
        <v>0</v>
      </c>
      <c r="U75" s="19">
        <v>0</v>
      </c>
      <c r="V75" s="19">
        <f>SUM(R75:U75)</f>
        <v>0</v>
      </c>
      <c r="W75" s="26">
        <v>625</v>
      </c>
      <c r="X75" s="21">
        <v>250</v>
      </c>
      <c r="Y75" s="21">
        <v>0</v>
      </c>
      <c r="Z75" s="21"/>
      <c r="AA75" s="22">
        <f>SUM(W75:Z75)</f>
        <v>875</v>
      </c>
      <c r="AB75" s="23">
        <v>665</v>
      </c>
      <c r="AC75" s="21">
        <v>500</v>
      </c>
      <c r="AD75" s="21"/>
      <c r="AE75" s="21"/>
      <c r="AF75" s="35">
        <f>SUM(AB75:AE75)</f>
        <v>1165</v>
      </c>
      <c r="AG75" s="23">
        <v>800</v>
      </c>
      <c r="AH75" s="21">
        <v>750</v>
      </c>
      <c r="AI75" s="21">
        <v>250</v>
      </c>
      <c r="AJ75" s="21"/>
      <c r="AK75" s="25">
        <f>SUM(AG75:AJ75)</f>
        <v>1800</v>
      </c>
      <c r="AL75" s="23">
        <v>750</v>
      </c>
      <c r="AM75" s="21">
        <v>1050</v>
      </c>
      <c r="AN75" s="21">
        <v>250</v>
      </c>
      <c r="AO75" s="21"/>
      <c r="AP75" s="25">
        <f>SUM(AL75:AO75)</f>
        <v>2050</v>
      </c>
      <c r="AQ75" s="23">
        <v>1100</v>
      </c>
      <c r="AR75" s="21">
        <v>800</v>
      </c>
      <c r="AS75" s="21">
        <v>250</v>
      </c>
      <c r="AT75" s="21"/>
      <c r="AU75" s="25">
        <f>SUM(AQ75:AT75)</f>
        <v>2150</v>
      </c>
      <c r="AV75" s="23">
        <v>970</v>
      </c>
      <c r="AW75" s="21">
        <v>850</v>
      </c>
      <c r="AX75" s="21">
        <v>250</v>
      </c>
      <c r="AY75" s="21"/>
      <c r="AZ75" s="25">
        <f>SUM(AV75:AY75)</f>
        <v>2070</v>
      </c>
      <c r="BA75" s="23"/>
      <c r="BB75" s="21"/>
      <c r="BC75" s="21"/>
      <c r="BD75" s="21"/>
      <c r="BE75" s="25">
        <f>SUM(BA75:BD75)</f>
        <v>0</v>
      </c>
      <c r="BF75" s="23"/>
      <c r="BG75" s="21"/>
      <c r="BH75" s="21"/>
      <c r="BI75" s="21"/>
      <c r="BJ75" s="25">
        <f>SUM(BF75:BH75)</f>
        <v>0</v>
      </c>
      <c r="BK75" s="23"/>
      <c r="BL75" s="21"/>
      <c r="BM75" s="21"/>
      <c r="BN75" s="21"/>
      <c r="BO75" s="25">
        <f>SUM(BK75:BM75)</f>
        <v>0</v>
      </c>
      <c r="BP75" s="23"/>
      <c r="BQ75" s="21"/>
      <c r="BR75" s="21"/>
      <c r="BS75" s="21"/>
      <c r="BT75" s="25">
        <f t="shared" si="46"/>
        <v>0</v>
      </c>
      <c r="BU75" s="21"/>
      <c r="BV75" s="26">
        <v>1000</v>
      </c>
      <c r="BW75" s="21"/>
      <c r="BX75" s="21">
        <v>1000</v>
      </c>
      <c r="BY75" s="21"/>
      <c r="BZ75" s="27">
        <f t="shared" si="49"/>
        <v>2000</v>
      </c>
      <c r="CA75" s="26">
        <v>4000</v>
      </c>
      <c r="CB75" s="21"/>
      <c r="CC75" s="21">
        <v>2500</v>
      </c>
      <c r="CD75" s="21"/>
      <c r="CE75" s="27">
        <f t="shared" si="35"/>
        <v>6500</v>
      </c>
      <c r="CF75" s="26"/>
      <c r="CG75" s="21"/>
      <c r="CH75" s="21"/>
      <c r="CI75" s="21"/>
      <c r="CJ75" s="27">
        <f t="shared" si="50"/>
        <v>0</v>
      </c>
    </row>
    <row r="76" spans="2:88" x14ac:dyDescent="0.25">
      <c r="B76" t="s">
        <v>41</v>
      </c>
      <c r="C76" s="17">
        <v>2119309000</v>
      </c>
      <c r="D76" t="s">
        <v>283</v>
      </c>
      <c r="E76" t="str">
        <f t="shared" si="48"/>
        <v>$2 Billion - $10 Billion</v>
      </c>
      <c r="F76">
        <f>IF(C76="", "", COUNTIF($C$6:C76,"&gt;0"))</f>
        <v>71</v>
      </c>
      <c r="G76" t="str">
        <f>IF(E76&lt;&gt;'[1]By Asset Category'!$B$1,"",COUNTIF($E$6:E76,'[1]By Asset Category'!$B$1))</f>
        <v/>
      </c>
      <c r="H76" t="s">
        <v>284</v>
      </c>
      <c r="L76" s="33"/>
      <c r="M76" s="34"/>
      <c r="N76" s="19"/>
      <c r="O76" s="19"/>
      <c r="P76" s="19"/>
      <c r="Q76" s="19"/>
      <c r="R76" s="34"/>
      <c r="S76" s="19"/>
      <c r="T76" s="19"/>
      <c r="U76" s="19"/>
      <c r="V76" s="19"/>
      <c r="W76" s="26"/>
      <c r="X76" s="21"/>
      <c r="Y76" s="21"/>
      <c r="Z76" s="21"/>
      <c r="AA76" s="22"/>
      <c r="AB76" s="23"/>
      <c r="AC76" s="21"/>
      <c r="AD76" s="21"/>
      <c r="AE76" s="21"/>
      <c r="AF76" s="35"/>
      <c r="AG76" s="23"/>
      <c r="AH76" s="21"/>
      <c r="AI76" s="21"/>
      <c r="AJ76" s="21"/>
      <c r="AK76" s="25"/>
      <c r="AL76" s="23"/>
      <c r="AM76" s="21"/>
      <c r="AN76" s="21"/>
      <c r="AO76" s="21"/>
      <c r="AP76" s="25"/>
      <c r="AQ76" s="23"/>
      <c r="AR76" s="21"/>
      <c r="AS76" s="21"/>
      <c r="AT76" s="21"/>
      <c r="AU76" s="25"/>
      <c r="AV76" s="23"/>
      <c r="AW76" s="21"/>
      <c r="AX76" s="21"/>
      <c r="AY76" s="21"/>
      <c r="AZ76" s="25"/>
      <c r="BA76" s="23"/>
      <c r="BB76" s="21"/>
      <c r="BC76" s="21"/>
      <c r="BD76" s="21"/>
      <c r="BE76" s="25"/>
      <c r="BF76" s="23"/>
      <c r="BG76" s="21"/>
      <c r="BH76" s="21"/>
      <c r="BI76" s="21"/>
      <c r="BJ76" s="25"/>
      <c r="BK76" s="23"/>
      <c r="BL76" s="21"/>
      <c r="BM76" s="21"/>
      <c r="BN76" s="21"/>
      <c r="BO76" s="25"/>
      <c r="BP76" s="23">
        <v>200</v>
      </c>
      <c r="BQ76" s="21">
        <v>200</v>
      </c>
      <c r="BR76" s="21">
        <v>5000</v>
      </c>
      <c r="BS76" s="29" t="s">
        <v>3</v>
      </c>
      <c r="BT76" s="25">
        <f t="shared" si="46"/>
        <v>5400</v>
      </c>
      <c r="BU76" s="29"/>
      <c r="BV76" s="26"/>
      <c r="BW76" s="21"/>
      <c r="BX76" s="21"/>
      <c r="BY76" s="21"/>
      <c r="BZ76" s="27">
        <f t="shared" si="49"/>
        <v>0</v>
      </c>
      <c r="CA76" s="26"/>
      <c r="CB76" s="21"/>
      <c r="CC76" s="21"/>
      <c r="CD76" s="21"/>
      <c r="CE76" s="27">
        <f t="shared" si="35"/>
        <v>0</v>
      </c>
      <c r="CF76" s="26"/>
      <c r="CG76" s="21"/>
      <c r="CH76" s="21"/>
      <c r="CI76" s="21"/>
      <c r="CJ76" s="27">
        <f t="shared" si="50"/>
        <v>0</v>
      </c>
    </row>
    <row r="77" spans="2:88" x14ac:dyDescent="0.25">
      <c r="B77" t="s">
        <v>53</v>
      </c>
      <c r="C77" s="17">
        <v>946656000</v>
      </c>
      <c r="D77" t="s">
        <v>285</v>
      </c>
      <c r="E77" t="str">
        <f t="shared" si="48"/>
        <v>$800 Million - $2 Billion</v>
      </c>
      <c r="F77">
        <f>IF(C77="", "", COUNTIF($C$6:C77,"&gt;0"))</f>
        <v>72</v>
      </c>
      <c r="G77">
        <f>IF(E77&lt;&gt;'[1]By Asset Category'!$B$1,"",COUNTIF($E$6:E77,'[1]By Asset Category'!$B$1))</f>
        <v>19</v>
      </c>
      <c r="H77" t="s">
        <v>286</v>
      </c>
      <c r="L77" s="33" t="s">
        <v>46</v>
      </c>
      <c r="M77" s="34"/>
      <c r="N77" s="19"/>
      <c r="O77" s="19"/>
      <c r="P77" s="19"/>
      <c r="Q77" s="19"/>
      <c r="R77" s="34"/>
      <c r="S77" s="19"/>
      <c r="T77" s="19"/>
      <c r="U77" s="19"/>
      <c r="V77" s="19"/>
      <c r="W77" s="26"/>
      <c r="X77" s="21"/>
      <c r="Y77" s="21"/>
      <c r="Z77" s="21"/>
      <c r="AA77" s="22"/>
      <c r="AB77" s="23"/>
      <c r="AC77" s="21"/>
      <c r="AD77" s="21"/>
      <c r="AE77" s="21"/>
      <c r="AF77" s="35"/>
      <c r="AG77" s="23"/>
      <c r="AH77" s="21"/>
      <c r="AI77" s="21"/>
      <c r="AJ77" s="21"/>
      <c r="AK77" s="25"/>
      <c r="AL77" s="23"/>
      <c r="AM77" s="21"/>
      <c r="AN77" s="21"/>
      <c r="AO77" s="21"/>
      <c r="AP77" s="25"/>
      <c r="AQ77" s="23"/>
      <c r="AR77" s="21"/>
      <c r="AS77" s="21"/>
      <c r="AT77" s="21"/>
      <c r="AU77" s="25"/>
      <c r="AV77" s="23"/>
      <c r="AW77" s="21"/>
      <c r="AX77" s="21"/>
      <c r="AY77" s="21"/>
      <c r="AZ77" s="25"/>
      <c r="BA77" s="23"/>
      <c r="BB77" s="21"/>
      <c r="BC77" s="21"/>
      <c r="BD77" s="21"/>
      <c r="BE77" s="25"/>
      <c r="BF77" s="23"/>
      <c r="BG77" s="21"/>
      <c r="BH77" s="21"/>
      <c r="BI77" s="21"/>
      <c r="BJ77" s="25"/>
      <c r="BK77" s="23">
        <v>1635</v>
      </c>
      <c r="BL77" s="21">
        <v>650</v>
      </c>
      <c r="BM77" s="21">
        <v>3000</v>
      </c>
      <c r="BN77" s="21"/>
      <c r="BO77" s="25">
        <f t="shared" ref="BO77:BO82" si="51">SUM(BK77:BN77)</f>
        <v>5285</v>
      </c>
      <c r="BP77" s="23">
        <v>785</v>
      </c>
      <c r="BQ77" s="21"/>
      <c r="BR77" s="21">
        <v>3000</v>
      </c>
      <c r="BS77" s="21"/>
      <c r="BT77" s="25">
        <f t="shared" si="46"/>
        <v>3785</v>
      </c>
      <c r="BU77" s="21">
        <v>250</v>
      </c>
      <c r="BV77" s="36">
        <v>1735</v>
      </c>
      <c r="BW77" s="29">
        <v>525</v>
      </c>
      <c r="BX77" s="29">
        <v>5000</v>
      </c>
      <c r="BY77" s="29"/>
      <c r="BZ77" s="27">
        <f t="shared" si="49"/>
        <v>7260</v>
      </c>
      <c r="CA77" s="36">
        <v>1755</v>
      </c>
      <c r="CB77" s="29">
        <v>825</v>
      </c>
      <c r="CC77" s="29">
        <v>8000</v>
      </c>
      <c r="CD77" s="29"/>
      <c r="CE77" s="27">
        <f t="shared" si="35"/>
        <v>10580</v>
      </c>
      <c r="CF77" s="36"/>
      <c r="CG77" s="29"/>
      <c r="CH77" s="29"/>
      <c r="CI77" s="29"/>
      <c r="CJ77" s="27">
        <f t="shared" si="50"/>
        <v>0</v>
      </c>
    </row>
    <row r="78" spans="2:88" s="73" customFormat="1" x14ac:dyDescent="0.25">
      <c r="B78" s="73" t="s">
        <v>41</v>
      </c>
      <c r="C78" s="74">
        <v>2727264000</v>
      </c>
      <c r="D78" s="73" t="s">
        <v>287</v>
      </c>
      <c r="E78" s="73" t="str">
        <f t="shared" si="48"/>
        <v>$2 Billion - $10 Billion</v>
      </c>
      <c r="F78" s="73">
        <f>IF(C78="", "", COUNTIF($C$6:C78,"&gt;0"))</f>
        <v>73</v>
      </c>
      <c r="G78" s="73" t="str">
        <f>IF(E78&lt;&gt;'[1]By Asset Category'!$B$1,"",COUNTIF($E$6:E78,'[1]By Asset Category'!$B$1))</f>
        <v/>
      </c>
      <c r="H78" s="73" t="s">
        <v>288</v>
      </c>
      <c r="L78" s="33" t="s">
        <v>46</v>
      </c>
      <c r="M78" s="34"/>
      <c r="N78" s="19"/>
      <c r="O78" s="19"/>
      <c r="P78" s="19"/>
      <c r="Q78" s="19"/>
      <c r="R78" s="34"/>
      <c r="S78" s="19"/>
      <c r="T78" s="19"/>
      <c r="U78" s="19"/>
      <c r="V78" s="19"/>
      <c r="W78" s="26"/>
      <c r="X78" s="21"/>
      <c r="Y78" s="21"/>
      <c r="Z78" s="21"/>
      <c r="AA78" s="22"/>
      <c r="AB78" s="23"/>
      <c r="AC78" s="21"/>
      <c r="AD78" s="21"/>
      <c r="AE78" s="21"/>
      <c r="AF78" s="35"/>
      <c r="AG78" s="23"/>
      <c r="AH78" s="21"/>
      <c r="AI78" s="21"/>
      <c r="AJ78" s="21"/>
      <c r="AK78" s="25"/>
      <c r="AL78" s="23"/>
      <c r="AM78" s="21"/>
      <c r="AN78" s="21"/>
      <c r="AO78" s="21"/>
      <c r="AP78" s="25"/>
      <c r="AQ78" s="23"/>
      <c r="AR78" s="21"/>
      <c r="AS78" s="21"/>
      <c r="AT78" s="21"/>
      <c r="AU78" s="25"/>
      <c r="AV78" s="23"/>
      <c r="AW78" s="21"/>
      <c r="AX78" s="21"/>
      <c r="AY78" s="21"/>
      <c r="AZ78" s="25"/>
      <c r="BA78" s="23"/>
      <c r="BB78" s="21"/>
      <c r="BC78" s="21"/>
      <c r="BD78" s="21"/>
      <c r="BE78" s="25"/>
      <c r="BF78" s="23"/>
      <c r="BG78" s="21"/>
      <c r="BH78" s="21"/>
      <c r="BI78" s="21"/>
      <c r="BJ78" s="25"/>
      <c r="BK78" s="23">
        <v>1055</v>
      </c>
      <c r="BL78" s="21"/>
      <c r="BM78" s="21"/>
      <c r="BN78" s="21"/>
      <c r="BO78" s="25">
        <f t="shared" si="51"/>
        <v>1055</v>
      </c>
      <c r="BP78" s="23">
        <v>1045</v>
      </c>
      <c r="BQ78" s="21"/>
      <c r="BR78" s="21"/>
      <c r="BS78" s="21"/>
      <c r="BT78" s="25">
        <f t="shared" si="46"/>
        <v>1045</v>
      </c>
      <c r="BU78" s="21">
        <v>200</v>
      </c>
      <c r="BV78" s="26">
        <v>925</v>
      </c>
      <c r="BW78" s="21"/>
      <c r="BX78" s="21">
        <v>3000</v>
      </c>
      <c r="BY78" s="21"/>
      <c r="BZ78" s="27">
        <f t="shared" si="49"/>
        <v>3925</v>
      </c>
      <c r="CA78" s="26"/>
      <c r="CB78" s="21"/>
      <c r="CC78" s="21"/>
      <c r="CD78" s="21"/>
      <c r="CE78" s="27">
        <f t="shared" si="35"/>
        <v>0</v>
      </c>
      <c r="CF78" s="26"/>
      <c r="CG78" s="21"/>
      <c r="CH78" s="21"/>
      <c r="CI78" s="21"/>
      <c r="CJ78" s="27">
        <f t="shared" si="50"/>
        <v>0</v>
      </c>
    </row>
    <row r="79" spans="2:88" x14ac:dyDescent="0.25">
      <c r="B79" t="s">
        <v>41</v>
      </c>
      <c r="C79" s="17">
        <v>40262683000</v>
      </c>
      <c r="D79" t="s">
        <v>289</v>
      </c>
      <c r="E79" t="str">
        <f t="shared" si="48"/>
        <v>Over $10 Billion</v>
      </c>
      <c r="F79">
        <f>IF(C79="", "", COUNTIF($C$6:C79,"&gt;0"))</f>
        <v>74</v>
      </c>
      <c r="G79" t="str">
        <f>IF(E79&lt;&gt;'[1]By Asset Category'!$B$1,"",COUNTIF($E$6:E79,'[1]By Asset Category'!$B$1))</f>
        <v/>
      </c>
      <c r="H79" t="s">
        <v>290</v>
      </c>
      <c r="I79" t="s">
        <v>291</v>
      </c>
      <c r="J79" t="s">
        <v>292</v>
      </c>
      <c r="K79" t="s">
        <v>293</v>
      </c>
      <c r="L79" s="33"/>
      <c r="M79" s="34"/>
      <c r="N79" s="19"/>
      <c r="O79" s="19"/>
      <c r="P79" s="19"/>
      <c r="Q79" s="19"/>
      <c r="R79" s="34"/>
      <c r="S79" s="19"/>
      <c r="T79" s="19"/>
      <c r="U79" s="19"/>
      <c r="V79" s="19"/>
      <c r="W79" s="26"/>
      <c r="X79" s="21"/>
      <c r="Y79" s="21"/>
      <c r="Z79" s="21"/>
      <c r="AA79" s="22"/>
      <c r="AB79" s="23"/>
      <c r="AC79" s="21"/>
      <c r="AD79" s="21"/>
      <c r="AE79" s="21"/>
      <c r="AF79" s="35"/>
      <c r="AG79" s="23"/>
      <c r="AH79" s="21"/>
      <c r="AI79" s="21"/>
      <c r="AJ79" s="21"/>
      <c r="AK79" s="25"/>
      <c r="AL79" s="23"/>
      <c r="AM79" s="21"/>
      <c r="AN79" s="21"/>
      <c r="AO79" s="21"/>
      <c r="AP79" s="25"/>
      <c r="AQ79" s="23"/>
      <c r="AR79" s="21"/>
      <c r="AS79" s="21"/>
      <c r="AT79" s="21"/>
      <c r="AU79" s="25"/>
      <c r="AV79" s="23">
        <v>1050</v>
      </c>
      <c r="AW79" s="21">
        <v>700</v>
      </c>
      <c r="AX79" s="21"/>
      <c r="AY79" s="21"/>
      <c r="AZ79" s="25">
        <f t="shared" ref="AZ79:AZ90" si="52">SUM(AV79:AY79)</f>
        <v>1750</v>
      </c>
      <c r="BA79" s="23">
        <v>850</v>
      </c>
      <c r="BB79" s="21">
        <v>900</v>
      </c>
      <c r="BC79" s="21"/>
      <c r="BD79" s="21"/>
      <c r="BE79" s="25">
        <f t="shared" ref="BE79:BE90" si="53">SUM(BA79:BD79)</f>
        <v>1750</v>
      </c>
      <c r="BF79" s="23">
        <v>1400</v>
      </c>
      <c r="BG79" s="21"/>
      <c r="BH79" s="21"/>
      <c r="BI79" s="21"/>
      <c r="BJ79" s="25">
        <f>SUM(BF79:BI79)</f>
        <v>1400</v>
      </c>
      <c r="BK79" s="23"/>
      <c r="BL79" s="21"/>
      <c r="BM79" s="21"/>
      <c r="BN79" s="21"/>
      <c r="BO79" s="25">
        <f t="shared" si="51"/>
        <v>0</v>
      </c>
      <c r="BP79" s="23">
        <v>1425</v>
      </c>
      <c r="BQ79" s="21"/>
      <c r="BR79" s="21"/>
      <c r="BS79" s="21"/>
      <c r="BT79" s="25">
        <f t="shared" si="46"/>
        <v>1425</v>
      </c>
      <c r="BU79" s="21"/>
      <c r="BV79" s="26">
        <v>1650</v>
      </c>
      <c r="BW79" s="21"/>
      <c r="BX79" s="21"/>
      <c r="BY79" s="21"/>
      <c r="BZ79" s="27">
        <f t="shared" si="49"/>
        <v>1650</v>
      </c>
      <c r="CA79" s="26">
        <v>1450</v>
      </c>
      <c r="CB79" s="21"/>
      <c r="CC79" s="21"/>
      <c r="CD79" s="21"/>
      <c r="CE79" s="27">
        <f t="shared" si="35"/>
        <v>1450</v>
      </c>
      <c r="CF79" s="26"/>
      <c r="CG79" s="21"/>
      <c r="CH79" s="21"/>
      <c r="CI79" s="21"/>
      <c r="CJ79" s="27">
        <f t="shared" si="50"/>
        <v>0</v>
      </c>
    </row>
    <row r="80" spans="2:88" x14ac:dyDescent="0.25">
      <c r="B80" t="s">
        <v>41</v>
      </c>
      <c r="C80" s="17">
        <v>4139586000</v>
      </c>
      <c r="D80" t="s">
        <v>294</v>
      </c>
      <c r="E80" t="str">
        <f t="shared" si="48"/>
        <v>$2 Billion - $10 Billion</v>
      </c>
      <c r="F80">
        <f>IF(C80="", "", COUNTIF($C$6:C80,"&gt;0"))</f>
        <v>75</v>
      </c>
      <c r="G80" t="str">
        <f>IF(E80&lt;&gt;'[1]By Asset Category'!$B$1,"",COUNTIF($E$6:E80,'[1]By Asset Category'!$B$1))</f>
        <v/>
      </c>
      <c r="H80" t="s">
        <v>295</v>
      </c>
      <c r="I80" t="s">
        <v>121</v>
      </c>
      <c r="J80" t="s">
        <v>296</v>
      </c>
      <c r="K80" t="s">
        <v>297</v>
      </c>
      <c r="L80" s="33" t="s">
        <v>3</v>
      </c>
      <c r="M80" s="34">
        <v>1805</v>
      </c>
      <c r="N80" s="19"/>
      <c r="O80" s="19">
        <v>1000</v>
      </c>
      <c r="P80" s="19"/>
      <c r="Q80" s="19">
        <f t="shared" ref="Q80:Q90" si="54">SUM(M80:P80)</f>
        <v>2805</v>
      </c>
      <c r="R80" s="34">
        <v>1045</v>
      </c>
      <c r="S80" s="19"/>
      <c r="T80" s="19">
        <v>500</v>
      </c>
      <c r="U80" s="19"/>
      <c r="V80" s="19">
        <f t="shared" ref="V80:V90" si="55">SUM(R80:U80)</f>
        <v>1545</v>
      </c>
      <c r="W80" s="26"/>
      <c r="X80" s="21"/>
      <c r="Y80" s="21"/>
      <c r="Z80" s="21"/>
      <c r="AA80" s="22"/>
      <c r="AB80" s="23"/>
      <c r="AC80" s="21"/>
      <c r="AD80" s="21"/>
      <c r="AE80" s="21"/>
      <c r="AF80" s="35"/>
      <c r="AG80" s="23"/>
      <c r="AH80" s="21"/>
      <c r="AI80" s="21"/>
      <c r="AJ80" s="21"/>
      <c r="AK80" s="25"/>
      <c r="AL80" s="23"/>
      <c r="AM80" s="21"/>
      <c r="AN80" s="21"/>
      <c r="AO80" s="21"/>
      <c r="AP80" s="25"/>
      <c r="AQ80" s="23"/>
      <c r="AR80" s="21"/>
      <c r="AS80" s="21"/>
      <c r="AT80" s="21"/>
      <c r="AU80" s="25"/>
      <c r="AV80" s="23"/>
      <c r="AW80" s="21"/>
      <c r="AX80" s="21">
        <v>1500</v>
      </c>
      <c r="AY80" s="21"/>
      <c r="AZ80" s="25">
        <f t="shared" si="52"/>
        <v>1500</v>
      </c>
      <c r="BA80" s="23">
        <v>750</v>
      </c>
      <c r="BB80" s="21"/>
      <c r="BC80" s="21">
        <v>2500</v>
      </c>
      <c r="BD80" s="21"/>
      <c r="BE80" s="25">
        <f t="shared" si="53"/>
        <v>3250</v>
      </c>
      <c r="BF80" s="23">
        <v>956</v>
      </c>
      <c r="BG80" s="21">
        <v>250</v>
      </c>
      <c r="BH80" s="21">
        <v>1500</v>
      </c>
      <c r="BI80" s="21"/>
      <c r="BJ80" s="25">
        <f>SUM(BF80:BI80)</f>
        <v>2706</v>
      </c>
      <c r="BK80" s="23">
        <v>1395</v>
      </c>
      <c r="BL80" s="21"/>
      <c r="BM80" s="21"/>
      <c r="BN80" s="21"/>
      <c r="BO80" s="25">
        <f t="shared" si="51"/>
        <v>1395</v>
      </c>
      <c r="BP80" s="23"/>
      <c r="BQ80" s="21"/>
      <c r="BR80" s="21"/>
      <c r="BS80" s="21"/>
      <c r="BT80" s="25">
        <f t="shared" si="46"/>
        <v>0</v>
      </c>
      <c r="BU80" s="21"/>
      <c r="BV80" s="26">
        <v>2219.98</v>
      </c>
      <c r="BW80" s="21"/>
      <c r="BX80" s="21"/>
      <c r="BY80" s="21"/>
      <c r="BZ80" s="27">
        <f t="shared" si="49"/>
        <v>2219.98</v>
      </c>
      <c r="CA80" s="26">
        <v>2377.02</v>
      </c>
      <c r="CB80" s="21"/>
      <c r="CC80" s="21"/>
      <c r="CD80" s="21"/>
      <c r="CE80" s="27">
        <f t="shared" si="35"/>
        <v>2377.02</v>
      </c>
      <c r="CF80" s="26">
        <v>872.51</v>
      </c>
      <c r="CG80" s="21"/>
      <c r="CH80" s="21"/>
      <c r="CI80" s="21"/>
      <c r="CJ80" s="27">
        <f t="shared" si="50"/>
        <v>872.51</v>
      </c>
    </row>
    <row r="81" spans="2:88" x14ac:dyDescent="0.25">
      <c r="B81" t="s">
        <v>58</v>
      </c>
      <c r="C81" s="17">
        <v>3271279000</v>
      </c>
      <c r="D81" t="s">
        <v>298</v>
      </c>
      <c r="E81" t="str">
        <f t="shared" si="48"/>
        <v>$2 Billion - $10 Billion</v>
      </c>
      <c r="F81">
        <f>IF(C81="", "", COUNTIF($C$6:C81,"&gt;0"))</f>
        <v>76</v>
      </c>
      <c r="G81" t="str">
        <f>IF(E81&lt;&gt;'[1]By Asset Category'!$B$1,"",COUNTIF($E$6:E81,'[1]By Asset Category'!$B$1))</f>
        <v/>
      </c>
      <c r="H81" t="s">
        <v>299</v>
      </c>
      <c r="I81" t="s">
        <v>38</v>
      </c>
      <c r="J81" t="s">
        <v>300</v>
      </c>
      <c r="K81" t="s">
        <v>301</v>
      </c>
      <c r="L81" s="33"/>
      <c r="M81" s="34">
        <v>0</v>
      </c>
      <c r="N81" s="19">
        <v>0</v>
      </c>
      <c r="O81" s="19">
        <v>0</v>
      </c>
      <c r="P81" s="19"/>
      <c r="Q81" s="19">
        <f t="shared" si="54"/>
        <v>0</v>
      </c>
      <c r="R81" s="34">
        <v>450</v>
      </c>
      <c r="S81" s="19">
        <v>0</v>
      </c>
      <c r="T81" s="19">
        <v>0</v>
      </c>
      <c r="U81" s="19"/>
      <c r="V81" s="19">
        <f t="shared" si="55"/>
        <v>450</v>
      </c>
      <c r="W81" s="26">
        <v>250</v>
      </c>
      <c r="X81" s="21">
        <v>0</v>
      </c>
      <c r="Y81" s="21">
        <v>0</v>
      </c>
      <c r="Z81" s="21"/>
      <c r="AA81" s="22">
        <f t="shared" ref="AA81:AA90" si="56">SUM(W81:Z81)</f>
        <v>250</v>
      </c>
      <c r="AB81" s="23">
        <v>250</v>
      </c>
      <c r="AC81" s="21"/>
      <c r="AD81" s="21"/>
      <c r="AE81" s="21"/>
      <c r="AF81" s="35">
        <f t="shared" ref="AF81:AF90" si="57">SUM(AB81:AE81)</f>
        <v>250</v>
      </c>
      <c r="AG81" s="23"/>
      <c r="AH81" s="21"/>
      <c r="AI81" s="21"/>
      <c r="AJ81" s="21"/>
      <c r="AK81" s="25">
        <f t="shared" ref="AK81:AK90" si="58">SUM(AG81:AJ81)</f>
        <v>0</v>
      </c>
      <c r="AL81" s="23"/>
      <c r="AM81" s="21"/>
      <c r="AN81" s="21">
        <v>500</v>
      </c>
      <c r="AO81" s="21"/>
      <c r="AP81" s="25">
        <f t="shared" ref="AP81:AP90" si="59">SUM(AL81:AO81)</f>
        <v>500</v>
      </c>
      <c r="AQ81" s="23"/>
      <c r="AR81" s="21"/>
      <c r="AS81" s="21">
        <v>500</v>
      </c>
      <c r="AT81" s="21"/>
      <c r="AU81" s="25">
        <f t="shared" ref="AU81:AU90" si="60">SUM(AQ81:AT81)</f>
        <v>500</v>
      </c>
      <c r="AV81" s="23"/>
      <c r="AW81" s="21"/>
      <c r="AX81" s="21"/>
      <c r="AY81" s="21"/>
      <c r="AZ81" s="25">
        <f t="shared" si="52"/>
        <v>0</v>
      </c>
      <c r="BA81" s="23"/>
      <c r="BB81" s="21"/>
      <c r="BC81" s="21"/>
      <c r="BD81" s="21"/>
      <c r="BE81" s="25">
        <f t="shared" si="53"/>
        <v>0</v>
      </c>
      <c r="BF81" s="23"/>
      <c r="BG81" s="21"/>
      <c r="BH81" s="21"/>
      <c r="BI81" s="21"/>
      <c r="BJ81" s="25">
        <f>SUM(BF81:BI81)</f>
        <v>0</v>
      </c>
      <c r="BK81" s="23"/>
      <c r="BL81" s="21"/>
      <c r="BM81" s="21"/>
      <c r="BN81" s="21"/>
      <c r="BO81" s="25">
        <f t="shared" si="51"/>
        <v>0</v>
      </c>
      <c r="BP81" s="23"/>
      <c r="BQ81" s="21"/>
      <c r="BR81" s="21"/>
      <c r="BS81" s="21"/>
      <c r="BT81" s="25">
        <f t="shared" si="46"/>
        <v>0</v>
      </c>
      <c r="BU81" s="21"/>
      <c r="BV81" s="26"/>
      <c r="BW81" s="21"/>
      <c r="BX81" s="21"/>
      <c r="BY81" s="21"/>
      <c r="BZ81" s="27">
        <f t="shared" si="49"/>
        <v>0</v>
      </c>
      <c r="CA81" s="26"/>
      <c r="CB81" s="21"/>
      <c r="CC81" s="21"/>
      <c r="CD81" s="21"/>
      <c r="CE81" s="27">
        <f t="shared" si="35"/>
        <v>0</v>
      </c>
      <c r="CF81" s="26"/>
      <c r="CG81" s="21"/>
      <c r="CH81" s="21"/>
      <c r="CI81" s="21"/>
      <c r="CJ81" s="27">
        <f t="shared" si="50"/>
        <v>0</v>
      </c>
    </row>
    <row r="82" spans="2:88" x14ac:dyDescent="0.25">
      <c r="B82" t="s">
        <v>53</v>
      </c>
      <c r="C82" s="61">
        <v>461822000</v>
      </c>
      <c r="D82" s="30" t="s">
        <v>302</v>
      </c>
      <c r="E82" t="str">
        <f t="shared" si="48"/>
        <v>$350 Million - $800 Million</v>
      </c>
      <c r="F82">
        <f>IF(C82="", "", COUNTIF($C$6:C82,"&gt;0"))</f>
        <v>77</v>
      </c>
      <c r="G82" t="str">
        <f>IF(E82&lt;&gt;'[1]By Asset Category'!$B$1,"",COUNTIF($E$6:E82,'[1]By Asset Category'!$B$1))</f>
        <v/>
      </c>
      <c r="H82" t="s">
        <v>303</v>
      </c>
      <c r="I82" t="s">
        <v>38</v>
      </c>
      <c r="J82" t="s">
        <v>304</v>
      </c>
      <c r="K82" t="s">
        <v>305</v>
      </c>
      <c r="L82" s="33"/>
      <c r="M82" s="34">
        <v>0</v>
      </c>
      <c r="N82" s="19">
        <v>0</v>
      </c>
      <c r="O82" s="19">
        <v>0</v>
      </c>
      <c r="P82" s="19">
        <v>0</v>
      </c>
      <c r="Q82" s="19">
        <f t="shared" si="54"/>
        <v>0</v>
      </c>
      <c r="R82" s="34">
        <v>0</v>
      </c>
      <c r="S82" s="19">
        <v>0</v>
      </c>
      <c r="T82" s="19">
        <v>0</v>
      </c>
      <c r="U82" s="19">
        <v>0</v>
      </c>
      <c r="V82" s="19">
        <f t="shared" si="55"/>
        <v>0</v>
      </c>
      <c r="W82" s="26">
        <v>0</v>
      </c>
      <c r="X82" s="21">
        <v>0</v>
      </c>
      <c r="Y82" s="21">
        <v>0</v>
      </c>
      <c r="Z82" s="21"/>
      <c r="AA82" s="22">
        <f t="shared" si="56"/>
        <v>0</v>
      </c>
      <c r="AB82" s="23"/>
      <c r="AC82" s="21"/>
      <c r="AD82" s="21"/>
      <c r="AE82" s="21"/>
      <c r="AF82" s="35">
        <f t="shared" si="57"/>
        <v>0</v>
      </c>
      <c r="AG82" s="23"/>
      <c r="AH82" s="21"/>
      <c r="AI82" s="21"/>
      <c r="AJ82" s="21"/>
      <c r="AK82" s="25">
        <f t="shared" si="58"/>
        <v>0</v>
      </c>
      <c r="AL82" s="23"/>
      <c r="AM82" s="21"/>
      <c r="AN82" s="21"/>
      <c r="AO82" s="21"/>
      <c r="AP82" s="25">
        <f t="shared" si="59"/>
        <v>0</v>
      </c>
      <c r="AQ82" s="23"/>
      <c r="AR82" s="21"/>
      <c r="AS82" s="21"/>
      <c r="AT82" s="21"/>
      <c r="AU82" s="25">
        <f t="shared" si="60"/>
        <v>0</v>
      </c>
      <c r="AV82" s="23"/>
      <c r="AW82" s="21"/>
      <c r="AX82" s="21"/>
      <c r="AY82" s="21"/>
      <c r="AZ82" s="25">
        <f t="shared" si="52"/>
        <v>0</v>
      </c>
      <c r="BA82" s="23"/>
      <c r="BB82" s="21"/>
      <c r="BC82" s="21"/>
      <c r="BD82" s="21"/>
      <c r="BE82" s="25">
        <f t="shared" si="53"/>
        <v>0</v>
      </c>
      <c r="BF82" s="23"/>
      <c r="BG82" s="21"/>
      <c r="BH82" s="21"/>
      <c r="BI82" s="21"/>
      <c r="BJ82" s="25">
        <f>SUM(BF82:BI82)</f>
        <v>0</v>
      </c>
      <c r="BK82" s="23"/>
      <c r="BL82" s="21"/>
      <c r="BM82" s="21"/>
      <c r="BN82" s="21"/>
      <c r="BO82" s="25">
        <f t="shared" si="51"/>
        <v>0</v>
      </c>
      <c r="BP82" s="23"/>
      <c r="BQ82" s="21"/>
      <c r="BR82" s="21"/>
      <c r="BS82" s="21"/>
      <c r="BT82" s="25">
        <f t="shared" si="46"/>
        <v>0</v>
      </c>
      <c r="BU82" s="21"/>
      <c r="BV82" s="26"/>
      <c r="BW82" s="21"/>
      <c r="BX82" s="21"/>
      <c r="BY82" s="21"/>
      <c r="BZ82" s="27">
        <f t="shared" si="49"/>
        <v>0</v>
      </c>
      <c r="CA82" s="26"/>
      <c r="CB82" s="21"/>
      <c r="CC82" s="21"/>
      <c r="CD82" s="21"/>
      <c r="CE82" s="27">
        <f t="shared" si="35"/>
        <v>0</v>
      </c>
      <c r="CF82" s="26"/>
      <c r="CG82" s="21"/>
      <c r="CH82" s="21"/>
      <c r="CI82" s="21"/>
      <c r="CJ82" s="27">
        <f t="shared" si="50"/>
        <v>0</v>
      </c>
    </row>
    <row r="83" spans="2:88" x14ac:dyDescent="0.25">
      <c r="B83" t="s">
        <v>47</v>
      </c>
      <c r="C83" s="17">
        <v>415513499000</v>
      </c>
      <c r="D83" t="s">
        <v>306</v>
      </c>
      <c r="E83" t="str">
        <f t="shared" si="48"/>
        <v>Over $10 Billion</v>
      </c>
      <c r="F83">
        <f>IF(C83="", "", COUNTIF($C$6:C83,"&gt;0"))</f>
        <v>78</v>
      </c>
      <c r="G83" t="str">
        <f>IF(E83&lt;&gt;'[1]By Asset Category'!$B$1,"",COUNTIF($E$6:E83,'[1]By Asset Category'!$B$1))</f>
        <v/>
      </c>
      <c r="H83" t="s">
        <v>307</v>
      </c>
      <c r="I83" t="s">
        <v>308</v>
      </c>
      <c r="J83" t="s">
        <v>309</v>
      </c>
      <c r="K83" t="s">
        <v>310</v>
      </c>
      <c r="L83" s="33"/>
      <c r="M83" s="34">
        <v>0</v>
      </c>
      <c r="N83" s="19">
        <v>0</v>
      </c>
      <c r="O83" s="19">
        <v>0</v>
      </c>
      <c r="P83" s="19">
        <v>0</v>
      </c>
      <c r="Q83" s="19">
        <f t="shared" si="54"/>
        <v>0</v>
      </c>
      <c r="R83" s="34">
        <v>0</v>
      </c>
      <c r="S83" s="19">
        <v>0</v>
      </c>
      <c r="T83" s="19">
        <v>0</v>
      </c>
      <c r="U83" s="19">
        <v>0</v>
      </c>
      <c r="V83" s="19">
        <f t="shared" si="55"/>
        <v>0</v>
      </c>
      <c r="W83" s="26">
        <v>0</v>
      </c>
      <c r="X83" s="21">
        <v>0</v>
      </c>
      <c r="Y83" s="21">
        <v>0</v>
      </c>
      <c r="Z83" s="21"/>
      <c r="AA83" s="22">
        <f t="shared" si="56"/>
        <v>0</v>
      </c>
      <c r="AB83" s="23"/>
      <c r="AC83" s="21"/>
      <c r="AD83" s="21"/>
      <c r="AE83" s="21"/>
      <c r="AF83" s="35">
        <f t="shared" si="57"/>
        <v>0</v>
      </c>
      <c r="AG83" s="23"/>
      <c r="AH83" s="21"/>
      <c r="AI83" s="21"/>
      <c r="AJ83" s="21"/>
      <c r="AK83" s="25">
        <f t="shared" si="58"/>
        <v>0</v>
      </c>
      <c r="AL83" s="23"/>
      <c r="AM83" s="21"/>
      <c r="AN83" s="21"/>
      <c r="AO83" s="21"/>
      <c r="AP83" s="25">
        <f t="shared" si="59"/>
        <v>0</v>
      </c>
      <c r="AQ83" s="23"/>
      <c r="AR83" s="21"/>
      <c r="AS83" s="21"/>
      <c r="AT83" s="21"/>
      <c r="AU83" s="25">
        <f t="shared" si="60"/>
        <v>0</v>
      </c>
      <c r="AV83" s="23"/>
      <c r="AW83" s="21"/>
      <c r="AX83" s="21"/>
      <c r="AY83" s="21"/>
      <c r="AZ83" s="25">
        <f t="shared" si="52"/>
        <v>0</v>
      </c>
      <c r="BA83" s="23"/>
      <c r="BB83" s="21"/>
      <c r="BC83" s="21"/>
      <c r="BD83" s="21"/>
      <c r="BE83" s="25">
        <f t="shared" si="53"/>
        <v>0</v>
      </c>
      <c r="BF83" s="23"/>
      <c r="BG83" s="21"/>
      <c r="BH83" s="21"/>
      <c r="BI83" s="21"/>
      <c r="BJ83" s="25"/>
      <c r="BK83" s="23"/>
      <c r="BL83" s="21"/>
      <c r="BM83" s="21"/>
      <c r="BN83" s="21"/>
      <c r="BO83" s="25"/>
      <c r="BP83" s="23">
        <v>250</v>
      </c>
      <c r="BQ83" s="21"/>
      <c r="BR83" s="21">
        <v>500</v>
      </c>
      <c r="BS83" s="21"/>
      <c r="BT83" s="25">
        <f t="shared" si="46"/>
        <v>750</v>
      </c>
      <c r="BU83" s="21">
        <v>250</v>
      </c>
      <c r="BV83" s="26"/>
      <c r="BW83" s="21"/>
      <c r="BX83" s="21"/>
      <c r="BY83" s="21"/>
      <c r="BZ83" s="27">
        <f t="shared" si="49"/>
        <v>0</v>
      </c>
      <c r="CA83" s="26"/>
      <c r="CB83" s="21"/>
      <c r="CC83" s="21"/>
      <c r="CD83" s="21"/>
      <c r="CE83" s="27">
        <f t="shared" si="35"/>
        <v>0</v>
      </c>
      <c r="CF83" s="26"/>
      <c r="CG83" s="21"/>
      <c r="CH83" s="21"/>
      <c r="CI83" s="21"/>
      <c r="CJ83" s="27">
        <f t="shared" si="50"/>
        <v>0</v>
      </c>
    </row>
    <row r="84" spans="2:88" x14ac:dyDescent="0.25">
      <c r="B84" t="s">
        <v>35</v>
      </c>
      <c r="C84" s="17">
        <v>172480000</v>
      </c>
      <c r="D84" t="s">
        <v>311</v>
      </c>
      <c r="E84" t="str">
        <f t="shared" si="48"/>
        <v>Less than $350 Million</v>
      </c>
      <c r="F84">
        <f>IF(C84="", "", COUNTIF($C$6:C84,"&gt;0"))</f>
        <v>79</v>
      </c>
      <c r="G84" t="str">
        <f>IF(E84&lt;&gt;'[1]By Asset Category'!$B$1,"",COUNTIF($E$6:E84,'[1]By Asset Category'!$B$1))</f>
        <v/>
      </c>
      <c r="H84" t="s">
        <v>312</v>
      </c>
      <c r="I84" t="s">
        <v>38</v>
      </c>
      <c r="J84" t="s">
        <v>313</v>
      </c>
      <c r="K84" t="s">
        <v>314</v>
      </c>
      <c r="L84" s="33"/>
      <c r="M84" s="34">
        <v>0</v>
      </c>
      <c r="N84" s="19">
        <v>0</v>
      </c>
      <c r="O84" s="19">
        <v>500</v>
      </c>
      <c r="P84" s="19"/>
      <c r="Q84" s="19">
        <f t="shared" si="54"/>
        <v>500</v>
      </c>
      <c r="R84" s="34">
        <v>0</v>
      </c>
      <c r="S84" s="19">
        <v>0</v>
      </c>
      <c r="T84" s="19">
        <v>500</v>
      </c>
      <c r="U84" s="19"/>
      <c r="V84" s="19">
        <f t="shared" si="55"/>
        <v>500</v>
      </c>
      <c r="W84" s="26">
        <v>0</v>
      </c>
      <c r="X84" s="21">
        <v>0</v>
      </c>
      <c r="Y84" s="21">
        <v>1000</v>
      </c>
      <c r="Z84" s="21"/>
      <c r="AA84" s="22">
        <f t="shared" si="56"/>
        <v>1000</v>
      </c>
      <c r="AB84" s="23"/>
      <c r="AC84" s="21"/>
      <c r="AD84" s="21">
        <v>1000</v>
      </c>
      <c r="AE84" s="21"/>
      <c r="AF84" s="35">
        <f t="shared" si="57"/>
        <v>1000</v>
      </c>
      <c r="AG84" s="23"/>
      <c r="AH84" s="21"/>
      <c r="AI84" s="21">
        <v>500</v>
      </c>
      <c r="AJ84" s="21"/>
      <c r="AK84" s="25">
        <f t="shared" si="58"/>
        <v>500</v>
      </c>
      <c r="AL84" s="23"/>
      <c r="AM84" s="21"/>
      <c r="AN84" s="21"/>
      <c r="AO84" s="21"/>
      <c r="AP84" s="25">
        <f t="shared" si="59"/>
        <v>0</v>
      </c>
      <c r="AQ84" s="23"/>
      <c r="AR84" s="21"/>
      <c r="AS84" s="21">
        <v>500</v>
      </c>
      <c r="AT84" s="21"/>
      <c r="AU84" s="25">
        <f t="shared" si="60"/>
        <v>500</v>
      </c>
      <c r="AV84" s="23"/>
      <c r="AW84" s="21"/>
      <c r="AX84" s="21">
        <v>500</v>
      </c>
      <c r="AY84" s="21"/>
      <c r="AZ84" s="25">
        <f t="shared" si="52"/>
        <v>500</v>
      </c>
      <c r="BA84" s="23"/>
      <c r="BB84" s="21"/>
      <c r="BC84" s="21"/>
      <c r="BD84" s="21"/>
      <c r="BE84" s="25">
        <f t="shared" si="53"/>
        <v>0</v>
      </c>
      <c r="BF84" s="23"/>
      <c r="BG84" s="21"/>
      <c r="BH84" s="21">
        <v>500</v>
      </c>
      <c r="BI84" s="21"/>
      <c r="BJ84" s="25">
        <f>SUM(BF84:BH84)</f>
        <v>500</v>
      </c>
      <c r="BK84" s="23"/>
      <c r="BL84" s="21"/>
      <c r="BM84" s="21">
        <v>500</v>
      </c>
      <c r="BN84" s="21"/>
      <c r="BO84" s="25">
        <f>SUM(BK84:BM84)</f>
        <v>500</v>
      </c>
      <c r="BP84" s="23">
        <v>312</v>
      </c>
      <c r="BQ84" s="21">
        <v>449</v>
      </c>
      <c r="BR84" s="21"/>
      <c r="BS84" s="21"/>
      <c r="BT84" s="25">
        <f t="shared" si="46"/>
        <v>761</v>
      </c>
      <c r="BU84" s="21">
        <v>112</v>
      </c>
      <c r="BV84" s="26"/>
      <c r="BW84" s="21">
        <v>250</v>
      </c>
      <c r="BX84" s="21">
        <v>500</v>
      </c>
      <c r="BY84" s="21"/>
      <c r="BZ84" s="27">
        <f t="shared" si="49"/>
        <v>750</v>
      </c>
      <c r="CA84" s="26">
        <v>0</v>
      </c>
      <c r="CB84" s="21">
        <v>300</v>
      </c>
      <c r="CC84" s="21">
        <v>1000</v>
      </c>
      <c r="CD84" s="21"/>
      <c r="CE84" s="27">
        <f t="shared" si="35"/>
        <v>1300</v>
      </c>
      <c r="CF84" s="26">
        <v>0</v>
      </c>
      <c r="CG84" s="21"/>
      <c r="CH84" s="21"/>
      <c r="CI84" s="21"/>
      <c r="CJ84" s="27">
        <f t="shared" si="50"/>
        <v>0</v>
      </c>
    </row>
    <row r="85" spans="2:88" x14ac:dyDescent="0.25">
      <c r="B85" t="s">
        <v>53</v>
      </c>
      <c r="C85" s="17">
        <v>525210000</v>
      </c>
      <c r="D85" t="s">
        <v>315</v>
      </c>
      <c r="E85" t="str">
        <f t="shared" si="48"/>
        <v>$350 Million - $800 Million</v>
      </c>
      <c r="F85">
        <f>IF(C85="", "", COUNTIF($C$6:C85,"&gt;0"))</f>
        <v>80</v>
      </c>
      <c r="G85" t="str">
        <f>IF(E85&lt;&gt;'[1]By Asset Category'!$B$1,"",COUNTIF($E$6:E85,'[1]By Asset Category'!$B$1))</f>
        <v/>
      </c>
      <c r="H85" s="30" t="s">
        <v>316</v>
      </c>
      <c r="I85" t="s">
        <v>38</v>
      </c>
      <c r="L85" s="33" t="s">
        <v>46</v>
      </c>
      <c r="M85" s="34">
        <v>0</v>
      </c>
      <c r="N85" s="19">
        <v>0</v>
      </c>
      <c r="O85" s="19">
        <v>500</v>
      </c>
      <c r="P85" s="19">
        <v>0</v>
      </c>
      <c r="Q85" s="19">
        <f t="shared" si="54"/>
        <v>500</v>
      </c>
      <c r="R85" s="34">
        <v>0</v>
      </c>
      <c r="S85" s="19">
        <v>0</v>
      </c>
      <c r="T85" s="19">
        <v>0</v>
      </c>
      <c r="U85" s="19">
        <v>0</v>
      </c>
      <c r="V85" s="19">
        <f t="shared" si="55"/>
        <v>0</v>
      </c>
      <c r="W85" s="26">
        <v>0</v>
      </c>
      <c r="X85" s="21">
        <v>0</v>
      </c>
      <c r="Y85" s="21">
        <v>500</v>
      </c>
      <c r="Z85" s="21"/>
      <c r="AA85" s="22">
        <f t="shared" si="56"/>
        <v>500</v>
      </c>
      <c r="AB85" s="23"/>
      <c r="AC85" s="21"/>
      <c r="AD85" s="21">
        <v>1000</v>
      </c>
      <c r="AE85" s="21"/>
      <c r="AF85" s="35">
        <f t="shared" si="57"/>
        <v>1000</v>
      </c>
      <c r="AG85" s="23"/>
      <c r="AH85" s="21"/>
      <c r="AI85" s="21">
        <v>1000</v>
      </c>
      <c r="AJ85" s="21"/>
      <c r="AK85" s="25">
        <f t="shared" si="58"/>
        <v>1000</v>
      </c>
      <c r="AL85" s="23"/>
      <c r="AM85" s="21"/>
      <c r="AN85" s="21">
        <v>1000</v>
      </c>
      <c r="AO85" s="21"/>
      <c r="AP85" s="25">
        <f t="shared" si="59"/>
        <v>1000</v>
      </c>
      <c r="AQ85" s="23">
        <v>300</v>
      </c>
      <c r="AR85" s="21">
        <v>700</v>
      </c>
      <c r="AS85" s="21">
        <v>1500</v>
      </c>
      <c r="AT85" s="21"/>
      <c r="AU85" s="25">
        <f t="shared" si="60"/>
        <v>2500</v>
      </c>
      <c r="AV85" s="23">
        <v>100</v>
      </c>
      <c r="AW85" s="21">
        <v>900</v>
      </c>
      <c r="AX85" s="21">
        <v>2000</v>
      </c>
      <c r="AY85" s="21"/>
      <c r="AZ85" s="25">
        <f t="shared" si="52"/>
        <v>3000</v>
      </c>
      <c r="BA85" s="23">
        <v>100</v>
      </c>
      <c r="BB85" s="21">
        <v>1000</v>
      </c>
      <c r="BC85" s="21">
        <v>1500</v>
      </c>
      <c r="BD85" s="21"/>
      <c r="BE85" s="25">
        <f t="shared" si="53"/>
        <v>2600</v>
      </c>
      <c r="BF85" s="23">
        <v>100</v>
      </c>
      <c r="BG85" s="21">
        <v>1100</v>
      </c>
      <c r="BH85" s="21">
        <v>1500</v>
      </c>
      <c r="BI85" s="21"/>
      <c r="BJ85" s="25">
        <f>SUM(BF85:BI85)</f>
        <v>2700</v>
      </c>
      <c r="BK85" s="23">
        <v>100</v>
      </c>
      <c r="BL85" s="21">
        <v>1100</v>
      </c>
      <c r="BM85" s="21">
        <v>2000</v>
      </c>
      <c r="BN85" s="21"/>
      <c r="BO85" s="25">
        <f>SUM(BK85:BN85)</f>
        <v>3200</v>
      </c>
      <c r="BP85" s="23">
        <v>12045</v>
      </c>
      <c r="BQ85" s="21">
        <v>11600</v>
      </c>
      <c r="BR85" s="21">
        <v>6500</v>
      </c>
      <c r="BS85" s="21"/>
      <c r="BT85" s="25">
        <f t="shared" si="46"/>
        <v>30145</v>
      </c>
      <c r="BU85" s="21">
        <v>1500</v>
      </c>
      <c r="BV85" s="26">
        <v>300</v>
      </c>
      <c r="BW85" s="21">
        <v>850</v>
      </c>
      <c r="BX85" s="21">
        <v>5000</v>
      </c>
      <c r="BY85" s="21"/>
      <c r="BZ85" s="27">
        <f t="shared" si="49"/>
        <v>6150</v>
      </c>
      <c r="CA85" s="26">
        <v>250</v>
      </c>
      <c r="CB85" s="21">
        <v>1000</v>
      </c>
      <c r="CC85" s="21">
        <v>5000</v>
      </c>
      <c r="CD85" s="21"/>
      <c r="CE85" s="27">
        <f t="shared" si="35"/>
        <v>6250</v>
      </c>
      <c r="CF85" s="26">
        <v>500</v>
      </c>
      <c r="CG85" s="21">
        <v>875</v>
      </c>
      <c r="CH85" s="21">
        <v>5000</v>
      </c>
      <c r="CI85" s="21"/>
      <c r="CJ85" s="27">
        <f t="shared" si="50"/>
        <v>6375</v>
      </c>
    </row>
    <row r="86" spans="2:88" x14ac:dyDescent="0.25">
      <c r="B86" t="s">
        <v>35</v>
      </c>
      <c r="C86" s="17">
        <v>658953000</v>
      </c>
      <c r="D86" t="s">
        <v>317</v>
      </c>
      <c r="E86" t="str">
        <f t="shared" si="48"/>
        <v>$350 Million - $800 Million</v>
      </c>
      <c r="F86">
        <f>IF(C86="", "", COUNTIF($C$6:C86,"&gt;0"))</f>
        <v>81</v>
      </c>
      <c r="G86" t="str">
        <f>IF(E86&lt;&gt;'[1]By Asset Category'!$B$1,"",COUNTIF($E$6:E86,'[1]By Asset Category'!$B$1))</f>
        <v/>
      </c>
      <c r="H86" t="s">
        <v>318</v>
      </c>
      <c r="I86" t="s">
        <v>319</v>
      </c>
      <c r="L86" s="33" t="s">
        <v>46</v>
      </c>
      <c r="M86" s="34">
        <v>6920</v>
      </c>
      <c r="N86" s="19">
        <v>8750</v>
      </c>
      <c r="O86" s="19">
        <v>3750</v>
      </c>
      <c r="P86" s="19"/>
      <c r="Q86" s="19">
        <f t="shared" si="54"/>
        <v>19420</v>
      </c>
      <c r="R86" s="34">
        <v>7945</v>
      </c>
      <c r="S86" s="19">
        <v>8400</v>
      </c>
      <c r="T86" s="19">
        <v>4000</v>
      </c>
      <c r="U86" s="19"/>
      <c r="V86" s="19">
        <f t="shared" si="55"/>
        <v>20345</v>
      </c>
      <c r="W86" s="26">
        <v>8710</v>
      </c>
      <c r="X86" s="21">
        <v>8700</v>
      </c>
      <c r="Y86" s="21">
        <v>4250</v>
      </c>
      <c r="Z86" s="21"/>
      <c r="AA86" s="22">
        <f t="shared" si="56"/>
        <v>21660</v>
      </c>
      <c r="AB86" s="23">
        <v>8955</v>
      </c>
      <c r="AC86" s="21">
        <v>9200</v>
      </c>
      <c r="AD86" s="21">
        <v>4500</v>
      </c>
      <c r="AE86" s="21"/>
      <c r="AF86" s="35">
        <f t="shared" si="57"/>
        <v>22655</v>
      </c>
      <c r="AG86" s="23">
        <v>9925</v>
      </c>
      <c r="AH86" s="21">
        <v>10350</v>
      </c>
      <c r="AI86" s="21">
        <v>4750</v>
      </c>
      <c r="AJ86" s="21"/>
      <c r="AK86" s="25">
        <f t="shared" si="58"/>
        <v>25025</v>
      </c>
      <c r="AL86" s="23">
        <v>10630</v>
      </c>
      <c r="AM86" s="21">
        <v>10800</v>
      </c>
      <c r="AN86" s="21">
        <v>5000</v>
      </c>
      <c r="AO86" s="21"/>
      <c r="AP86" s="25">
        <f t="shared" si="59"/>
        <v>26430</v>
      </c>
      <c r="AQ86" s="23">
        <v>14195</v>
      </c>
      <c r="AR86" s="21">
        <v>7650</v>
      </c>
      <c r="AS86" s="21">
        <v>5250</v>
      </c>
      <c r="AT86" s="21"/>
      <c r="AU86" s="25">
        <f t="shared" si="60"/>
        <v>27095</v>
      </c>
      <c r="AV86" s="23">
        <v>12085</v>
      </c>
      <c r="AW86" s="21">
        <v>8200</v>
      </c>
      <c r="AX86" s="21">
        <v>5750</v>
      </c>
      <c r="AY86" s="21"/>
      <c r="AZ86" s="25">
        <f t="shared" si="52"/>
        <v>26035</v>
      </c>
      <c r="BA86" s="23">
        <v>11165</v>
      </c>
      <c r="BB86" s="21">
        <v>9650</v>
      </c>
      <c r="BC86" s="21">
        <v>5750</v>
      </c>
      <c r="BD86" s="21"/>
      <c r="BE86" s="25">
        <f t="shared" si="53"/>
        <v>26565</v>
      </c>
      <c r="BF86" s="23">
        <v>11725</v>
      </c>
      <c r="BG86" s="21">
        <v>7800</v>
      </c>
      <c r="BH86" s="21">
        <v>6000</v>
      </c>
      <c r="BI86" s="21"/>
      <c r="BJ86" s="25">
        <f>SUM(BF86:BH86)</f>
        <v>25525</v>
      </c>
      <c r="BK86" s="23">
        <v>12846</v>
      </c>
      <c r="BL86" s="21">
        <v>7300</v>
      </c>
      <c r="BM86" s="21">
        <v>6250</v>
      </c>
      <c r="BN86" s="21"/>
      <c r="BO86" s="25">
        <f>SUM(BK86:BM86)</f>
        <v>26396</v>
      </c>
      <c r="BP86" s="23"/>
      <c r="BQ86" s="21"/>
      <c r="BR86" s="21"/>
      <c r="BS86" s="21"/>
      <c r="BT86" s="25">
        <f t="shared" si="46"/>
        <v>0</v>
      </c>
      <c r="BU86" s="21"/>
      <c r="BV86" s="26">
        <v>10865</v>
      </c>
      <c r="BW86" s="21">
        <v>11400</v>
      </c>
      <c r="BX86" s="21">
        <v>7000</v>
      </c>
      <c r="BY86" s="21"/>
      <c r="BZ86" s="27">
        <f t="shared" si="49"/>
        <v>29265</v>
      </c>
      <c r="CA86" s="26"/>
      <c r="CB86" s="21"/>
      <c r="CC86" s="21"/>
      <c r="CD86" s="21"/>
      <c r="CE86" s="27">
        <f t="shared" si="35"/>
        <v>0</v>
      </c>
      <c r="CF86" s="26"/>
      <c r="CG86" s="21"/>
      <c r="CH86" s="21"/>
      <c r="CI86" s="21"/>
      <c r="CJ86" s="27">
        <f t="shared" si="50"/>
        <v>0</v>
      </c>
    </row>
    <row r="87" spans="2:88" x14ac:dyDescent="0.25">
      <c r="B87" t="s">
        <v>53</v>
      </c>
      <c r="C87" s="17">
        <v>54594000</v>
      </c>
      <c r="D87" t="s">
        <v>320</v>
      </c>
      <c r="E87" t="str">
        <f t="shared" si="48"/>
        <v>Less than $350 Million</v>
      </c>
      <c r="F87">
        <f>IF(C87="", "", COUNTIF($C$6:C87,"&gt;0"))</f>
        <v>82</v>
      </c>
      <c r="G87" t="str">
        <f>IF(E87&lt;&gt;'[1]By Asset Category'!$B$1,"",COUNTIF($E$6:E87,'[1]By Asset Category'!$B$1))</f>
        <v/>
      </c>
      <c r="H87" t="s">
        <v>321</v>
      </c>
      <c r="I87" t="s">
        <v>91</v>
      </c>
      <c r="J87" t="s">
        <v>322</v>
      </c>
      <c r="K87" t="s">
        <v>323</v>
      </c>
      <c r="L87" s="33"/>
      <c r="M87" s="34">
        <v>0</v>
      </c>
      <c r="N87" s="19">
        <v>0</v>
      </c>
      <c r="O87" s="19">
        <v>0</v>
      </c>
      <c r="P87" s="19">
        <v>0</v>
      </c>
      <c r="Q87" s="19">
        <f t="shared" si="54"/>
        <v>0</v>
      </c>
      <c r="R87" s="34">
        <v>0</v>
      </c>
      <c r="S87" s="19">
        <v>0</v>
      </c>
      <c r="T87" s="19">
        <v>0</v>
      </c>
      <c r="U87" s="19">
        <v>0</v>
      </c>
      <c r="V87" s="19">
        <f t="shared" si="55"/>
        <v>0</v>
      </c>
      <c r="W87" s="26">
        <v>0</v>
      </c>
      <c r="X87" s="21">
        <v>0</v>
      </c>
      <c r="Y87" s="21">
        <v>0</v>
      </c>
      <c r="Z87" s="21"/>
      <c r="AA87" s="22">
        <f t="shared" si="56"/>
        <v>0</v>
      </c>
      <c r="AB87" s="23"/>
      <c r="AC87" s="21"/>
      <c r="AD87" s="21"/>
      <c r="AE87" s="21"/>
      <c r="AF87" s="35">
        <f t="shared" si="57"/>
        <v>0</v>
      </c>
      <c r="AG87" s="23"/>
      <c r="AH87" s="21"/>
      <c r="AI87" s="21"/>
      <c r="AJ87" s="21"/>
      <c r="AK87" s="25">
        <f t="shared" si="58"/>
        <v>0</v>
      </c>
      <c r="AL87" s="23"/>
      <c r="AM87" s="21"/>
      <c r="AN87" s="21"/>
      <c r="AO87" s="21"/>
      <c r="AP87" s="25">
        <f t="shared" si="59"/>
        <v>0</v>
      </c>
      <c r="AQ87" s="23"/>
      <c r="AR87" s="21"/>
      <c r="AS87" s="21"/>
      <c r="AT87" s="21"/>
      <c r="AU87" s="25">
        <f t="shared" si="60"/>
        <v>0</v>
      </c>
      <c r="AV87" s="23"/>
      <c r="AW87" s="21"/>
      <c r="AX87" s="21"/>
      <c r="AY87" s="21"/>
      <c r="AZ87" s="25">
        <f t="shared" si="52"/>
        <v>0</v>
      </c>
      <c r="BA87" s="23"/>
      <c r="BB87" s="21"/>
      <c r="BC87" s="21"/>
      <c r="BD87" s="21"/>
      <c r="BE87" s="25">
        <f t="shared" si="53"/>
        <v>0</v>
      </c>
      <c r="BF87" s="23"/>
      <c r="BG87" s="21"/>
      <c r="BH87" s="21"/>
      <c r="BI87" s="21"/>
      <c r="BJ87" s="25">
        <f>SUM(BF87:BI87)</f>
        <v>0</v>
      </c>
      <c r="BK87" s="23"/>
      <c r="BL87" s="21"/>
      <c r="BM87" s="21"/>
      <c r="BN87" s="21"/>
      <c r="BO87" s="25">
        <f>SUM(BK87:BN87)</f>
        <v>0</v>
      </c>
      <c r="BP87" s="23"/>
      <c r="BQ87" s="21"/>
      <c r="BR87" s="21">
        <v>1000</v>
      </c>
      <c r="BS87" s="21"/>
      <c r="BT87" s="25">
        <f t="shared" si="46"/>
        <v>1000</v>
      </c>
      <c r="BU87" s="21"/>
      <c r="BV87" s="26"/>
      <c r="BW87" s="21"/>
      <c r="BX87" s="21"/>
      <c r="BY87" s="21"/>
      <c r="BZ87" s="27">
        <f t="shared" si="49"/>
        <v>0</v>
      </c>
      <c r="CA87" s="26"/>
      <c r="CB87" s="21"/>
      <c r="CC87" s="21"/>
      <c r="CD87" s="21"/>
      <c r="CE87" s="27">
        <f t="shared" si="35"/>
        <v>0</v>
      </c>
      <c r="CF87" s="26"/>
      <c r="CG87" s="21"/>
      <c r="CH87" s="21"/>
      <c r="CI87" s="21"/>
      <c r="CJ87" s="27">
        <f t="shared" si="50"/>
        <v>0</v>
      </c>
    </row>
    <row r="88" spans="2:88" x14ac:dyDescent="0.25">
      <c r="B88" t="s">
        <v>35</v>
      </c>
      <c r="C88" s="17">
        <v>296515000</v>
      </c>
      <c r="D88" t="s">
        <v>324</v>
      </c>
      <c r="E88" t="str">
        <f t="shared" si="48"/>
        <v>Less than $350 Million</v>
      </c>
      <c r="F88">
        <f>IF(C88="", "", COUNTIF($C$6:C88,"&gt;0"))</f>
        <v>83</v>
      </c>
      <c r="G88" t="str">
        <f>IF(E88&lt;&gt;'[1]By Asset Category'!$B$1,"",COUNTIF($E$6:E88,'[1]By Asset Category'!$B$1))</f>
        <v/>
      </c>
      <c r="H88" t="s">
        <v>325</v>
      </c>
      <c r="I88" t="s">
        <v>38</v>
      </c>
      <c r="J88" t="s">
        <v>326</v>
      </c>
      <c r="K88" t="s">
        <v>327</v>
      </c>
      <c r="L88" s="33" t="s">
        <v>3</v>
      </c>
      <c r="M88" s="34">
        <v>50</v>
      </c>
      <c r="N88" s="19">
        <v>0</v>
      </c>
      <c r="O88" s="19">
        <v>1000</v>
      </c>
      <c r="P88" s="19"/>
      <c r="Q88" s="19">
        <f t="shared" si="54"/>
        <v>1050</v>
      </c>
      <c r="R88" s="34">
        <v>25</v>
      </c>
      <c r="S88" s="19">
        <v>0</v>
      </c>
      <c r="T88" s="19">
        <v>1000</v>
      </c>
      <c r="U88" s="19"/>
      <c r="V88" s="19">
        <f t="shared" si="55"/>
        <v>1025</v>
      </c>
      <c r="W88" s="26">
        <v>0</v>
      </c>
      <c r="X88" s="21">
        <v>0</v>
      </c>
      <c r="Y88" s="21">
        <v>1000</v>
      </c>
      <c r="Z88" s="21"/>
      <c r="AA88" s="22">
        <f t="shared" si="56"/>
        <v>1000</v>
      </c>
      <c r="AB88" s="23"/>
      <c r="AC88" s="21"/>
      <c r="AD88" s="21">
        <v>1000</v>
      </c>
      <c r="AE88" s="21"/>
      <c r="AF88" s="35">
        <f t="shared" si="57"/>
        <v>1000</v>
      </c>
      <c r="AG88" s="23">
        <v>85</v>
      </c>
      <c r="AH88" s="21"/>
      <c r="AI88" s="21">
        <v>1000</v>
      </c>
      <c r="AJ88" s="21"/>
      <c r="AK88" s="25">
        <f t="shared" si="58"/>
        <v>1085</v>
      </c>
      <c r="AL88" s="23"/>
      <c r="AM88" s="21"/>
      <c r="AN88" s="21">
        <v>1000</v>
      </c>
      <c r="AO88" s="21"/>
      <c r="AP88" s="25">
        <f t="shared" si="59"/>
        <v>1000</v>
      </c>
      <c r="AQ88" s="23"/>
      <c r="AR88" s="21"/>
      <c r="AS88" s="21">
        <v>1000</v>
      </c>
      <c r="AT88" s="21"/>
      <c r="AU88" s="25">
        <f t="shared" si="60"/>
        <v>1000</v>
      </c>
      <c r="AV88" s="23">
        <v>100</v>
      </c>
      <c r="AW88" s="21"/>
      <c r="AX88" s="21">
        <v>1000</v>
      </c>
      <c r="AY88" s="21"/>
      <c r="AZ88" s="25">
        <f t="shared" si="52"/>
        <v>1100</v>
      </c>
      <c r="BA88" s="23"/>
      <c r="BB88" s="21"/>
      <c r="BC88" s="21">
        <v>1000</v>
      </c>
      <c r="BD88" s="21"/>
      <c r="BE88" s="25">
        <f t="shared" si="53"/>
        <v>1000</v>
      </c>
      <c r="BF88" s="23"/>
      <c r="BG88" s="21"/>
      <c r="BH88" s="21">
        <v>1000</v>
      </c>
      <c r="BI88" s="21"/>
      <c r="BJ88" s="25">
        <f>SUM(BF88:BH88)</f>
        <v>1000</v>
      </c>
      <c r="BK88" s="23"/>
      <c r="BL88" s="21"/>
      <c r="BM88" s="21">
        <v>1000</v>
      </c>
      <c r="BN88" s="21"/>
      <c r="BO88" s="25">
        <f>SUM(BK88:BM88)</f>
        <v>1000</v>
      </c>
      <c r="BP88" s="23">
        <v>3468</v>
      </c>
      <c r="BQ88" s="21">
        <v>1000</v>
      </c>
      <c r="BR88" s="21">
        <v>500</v>
      </c>
      <c r="BS88" s="21"/>
      <c r="BT88" s="25">
        <f t="shared" si="46"/>
        <v>4968</v>
      </c>
      <c r="BU88" s="21">
        <v>249.96</v>
      </c>
      <c r="BV88" s="26"/>
      <c r="BW88" s="21"/>
      <c r="BX88" s="21">
        <v>1000</v>
      </c>
      <c r="BY88" s="21"/>
      <c r="BZ88" s="27">
        <f t="shared" si="49"/>
        <v>1000</v>
      </c>
      <c r="CA88" s="26"/>
      <c r="CB88" s="21"/>
      <c r="CC88" s="21"/>
      <c r="CD88" s="21"/>
      <c r="CE88" s="27">
        <f t="shared" si="35"/>
        <v>0</v>
      </c>
      <c r="CF88" s="26"/>
      <c r="CG88" s="21"/>
      <c r="CH88" s="21"/>
      <c r="CI88" s="21"/>
      <c r="CJ88" s="27">
        <f t="shared" si="50"/>
        <v>0</v>
      </c>
    </row>
    <row r="89" spans="2:88" x14ac:dyDescent="0.25">
      <c r="B89" t="s">
        <v>41</v>
      </c>
      <c r="C89" s="17">
        <v>563675000</v>
      </c>
      <c r="D89" t="s">
        <v>328</v>
      </c>
      <c r="E89" t="str">
        <f t="shared" si="48"/>
        <v>$350 Million - $800 Million</v>
      </c>
      <c r="F89">
        <f>IF(C89="", "", COUNTIF($C$6:C89,"&gt;0"))</f>
        <v>84</v>
      </c>
      <c r="G89" t="str">
        <f>IF(E89&lt;&gt;'[1]By Asset Category'!$B$1,"",COUNTIF($E$6:E89,'[1]By Asset Category'!$B$1))</f>
        <v/>
      </c>
      <c r="H89" t="s">
        <v>329</v>
      </c>
      <c r="I89" t="s">
        <v>38</v>
      </c>
      <c r="J89" t="s">
        <v>330</v>
      </c>
      <c r="K89" t="s">
        <v>331</v>
      </c>
      <c r="L89" s="33" t="s">
        <v>3</v>
      </c>
      <c r="M89" s="34">
        <v>950</v>
      </c>
      <c r="N89" s="19">
        <v>200</v>
      </c>
      <c r="O89" s="19">
        <v>0</v>
      </c>
      <c r="P89" s="19"/>
      <c r="Q89" s="19">
        <f t="shared" si="54"/>
        <v>1150</v>
      </c>
      <c r="R89" s="34">
        <v>870</v>
      </c>
      <c r="S89" s="19">
        <v>200</v>
      </c>
      <c r="T89" s="19">
        <v>0</v>
      </c>
      <c r="U89" s="19"/>
      <c r="V89" s="19">
        <f t="shared" si="55"/>
        <v>1070</v>
      </c>
      <c r="W89" s="26">
        <v>995</v>
      </c>
      <c r="X89" s="21">
        <v>200</v>
      </c>
      <c r="Y89" s="21">
        <v>1000</v>
      </c>
      <c r="Z89" s="21">
        <v>0</v>
      </c>
      <c r="AA89" s="22">
        <f t="shared" si="56"/>
        <v>2195</v>
      </c>
      <c r="AB89" s="23">
        <v>1075</v>
      </c>
      <c r="AC89" s="21">
        <v>225</v>
      </c>
      <c r="AD89" s="21">
        <v>1500</v>
      </c>
      <c r="AE89" s="21"/>
      <c r="AF89" s="35">
        <f t="shared" si="57"/>
        <v>2800</v>
      </c>
      <c r="AG89" s="23">
        <v>1105</v>
      </c>
      <c r="AH89" s="21">
        <v>250</v>
      </c>
      <c r="AI89" s="21">
        <v>2500</v>
      </c>
      <c r="AJ89" s="21"/>
      <c r="AK89" s="25">
        <f t="shared" si="58"/>
        <v>3855</v>
      </c>
      <c r="AL89" s="23">
        <v>1240</v>
      </c>
      <c r="AM89" s="21">
        <v>200</v>
      </c>
      <c r="AN89" s="21">
        <v>2500</v>
      </c>
      <c r="AO89" s="21"/>
      <c r="AP89" s="25">
        <f t="shared" si="59"/>
        <v>3940</v>
      </c>
      <c r="AQ89" s="23">
        <v>1225</v>
      </c>
      <c r="AR89" s="21">
        <v>100</v>
      </c>
      <c r="AS89" s="21">
        <v>2500</v>
      </c>
      <c r="AT89" s="21"/>
      <c r="AU89" s="25">
        <f t="shared" si="60"/>
        <v>3825</v>
      </c>
      <c r="AV89" s="23">
        <v>1150</v>
      </c>
      <c r="AW89" s="21">
        <v>100</v>
      </c>
      <c r="AX89" s="21">
        <v>2500</v>
      </c>
      <c r="AY89" s="21"/>
      <c r="AZ89" s="25">
        <f t="shared" si="52"/>
        <v>3750</v>
      </c>
      <c r="BA89" s="23">
        <v>1375</v>
      </c>
      <c r="BB89" s="21">
        <v>100</v>
      </c>
      <c r="BC89" s="21">
        <v>2500</v>
      </c>
      <c r="BD89" s="21"/>
      <c r="BE89" s="25">
        <f t="shared" si="53"/>
        <v>3975</v>
      </c>
      <c r="BF89" s="23">
        <v>1225</v>
      </c>
      <c r="BG89" s="21">
        <v>100</v>
      </c>
      <c r="BH89" s="21">
        <v>2500</v>
      </c>
      <c r="BI89" s="21"/>
      <c r="BJ89" s="25">
        <f>SUM(BF89:BH89)</f>
        <v>3825</v>
      </c>
      <c r="BK89" s="23">
        <v>1025</v>
      </c>
      <c r="BL89" s="21">
        <v>150</v>
      </c>
      <c r="BM89" s="21">
        <v>2500</v>
      </c>
      <c r="BN89" s="21"/>
      <c r="BO89" s="25">
        <f>SUM(BK89:BM89)</f>
        <v>3675</v>
      </c>
      <c r="BP89" s="23"/>
      <c r="BQ89" s="21"/>
      <c r="BR89" s="21">
        <v>30000</v>
      </c>
      <c r="BS89" s="21"/>
      <c r="BT89" s="25">
        <f t="shared" si="46"/>
        <v>30000</v>
      </c>
      <c r="BU89" s="21"/>
      <c r="BV89" s="26">
        <v>450</v>
      </c>
      <c r="BW89" s="21">
        <v>1350</v>
      </c>
      <c r="BX89" s="21">
        <v>2500</v>
      </c>
      <c r="BY89" s="21"/>
      <c r="BZ89" s="27">
        <f t="shared" si="49"/>
        <v>4300</v>
      </c>
      <c r="CA89" s="26">
        <v>100</v>
      </c>
      <c r="CB89" s="21">
        <v>1350</v>
      </c>
      <c r="CC89" s="21">
        <v>2500</v>
      </c>
      <c r="CD89" s="21"/>
      <c r="CE89" s="27">
        <f t="shared" si="35"/>
        <v>3950</v>
      </c>
      <c r="CF89" s="26"/>
      <c r="CG89" s="21"/>
      <c r="CH89" s="21"/>
      <c r="CI89" s="21"/>
      <c r="CJ89" s="27">
        <f t="shared" si="50"/>
        <v>0</v>
      </c>
    </row>
    <row r="90" spans="2:88" x14ac:dyDescent="0.25">
      <c r="B90" t="s">
        <v>41</v>
      </c>
      <c r="C90" s="17">
        <v>15081000000</v>
      </c>
      <c r="D90" t="s">
        <v>332</v>
      </c>
      <c r="E90" t="str">
        <f t="shared" si="48"/>
        <v>Over $10 Billion</v>
      </c>
      <c r="F90">
        <f>IF(C90="", "", COUNTIF($C$6:C90,"&gt;0"))</f>
        <v>85</v>
      </c>
      <c r="G90" t="str">
        <f>IF(E90&lt;&gt;'[1]By Asset Category'!$B$1,"",COUNTIF($E$6:E90,'[1]By Asset Category'!$B$1))</f>
        <v/>
      </c>
      <c r="H90" t="s">
        <v>333</v>
      </c>
      <c r="I90" t="s">
        <v>334</v>
      </c>
      <c r="J90" t="s">
        <v>335</v>
      </c>
      <c r="K90" t="s">
        <v>336</v>
      </c>
      <c r="L90" s="33"/>
      <c r="M90" s="34">
        <v>7350</v>
      </c>
      <c r="N90" s="19">
        <v>350</v>
      </c>
      <c r="O90" s="19">
        <v>4500</v>
      </c>
      <c r="P90" s="19"/>
      <c r="Q90" s="19">
        <f t="shared" si="54"/>
        <v>12200</v>
      </c>
      <c r="R90" s="34">
        <v>6200</v>
      </c>
      <c r="S90" s="19">
        <v>350</v>
      </c>
      <c r="T90" s="19">
        <v>5000</v>
      </c>
      <c r="U90" s="19"/>
      <c r="V90" s="19">
        <f t="shared" si="55"/>
        <v>11550</v>
      </c>
      <c r="W90" s="26">
        <v>6500</v>
      </c>
      <c r="X90" s="21">
        <v>350</v>
      </c>
      <c r="Y90" s="21">
        <v>8250</v>
      </c>
      <c r="Z90" s="21"/>
      <c r="AA90" s="22">
        <f t="shared" si="56"/>
        <v>15100</v>
      </c>
      <c r="AB90" s="23">
        <v>7900</v>
      </c>
      <c r="AC90" s="21">
        <v>1350</v>
      </c>
      <c r="AD90" s="21">
        <v>10000</v>
      </c>
      <c r="AE90" s="21"/>
      <c r="AF90" s="35">
        <f t="shared" si="57"/>
        <v>19250</v>
      </c>
      <c r="AG90" s="23">
        <v>6055</v>
      </c>
      <c r="AH90" s="21"/>
      <c r="AI90" s="21">
        <v>15000</v>
      </c>
      <c r="AJ90" s="21"/>
      <c r="AK90" s="25">
        <f t="shared" si="58"/>
        <v>21055</v>
      </c>
      <c r="AL90" s="23">
        <v>5400</v>
      </c>
      <c r="AM90" s="21">
        <v>1720</v>
      </c>
      <c r="AN90" s="21">
        <v>15000</v>
      </c>
      <c r="AO90" s="21"/>
      <c r="AP90" s="25">
        <f t="shared" si="59"/>
        <v>22120</v>
      </c>
      <c r="AQ90" s="23"/>
      <c r="AR90" s="21"/>
      <c r="AS90" s="21">
        <v>20000</v>
      </c>
      <c r="AT90" s="21"/>
      <c r="AU90" s="25">
        <f t="shared" si="60"/>
        <v>20000</v>
      </c>
      <c r="AV90" s="23"/>
      <c r="AW90" s="21"/>
      <c r="AX90" s="21">
        <v>25000</v>
      </c>
      <c r="AY90" s="21"/>
      <c r="AZ90" s="25">
        <f t="shared" si="52"/>
        <v>25000</v>
      </c>
      <c r="BA90" s="23"/>
      <c r="BB90" s="21"/>
      <c r="BC90" s="21">
        <v>25000</v>
      </c>
      <c r="BD90" s="21"/>
      <c r="BE90" s="25">
        <f t="shared" si="53"/>
        <v>25000</v>
      </c>
      <c r="BF90" s="23"/>
      <c r="BG90" s="21"/>
      <c r="BH90" s="21">
        <v>25000</v>
      </c>
      <c r="BI90" s="21"/>
      <c r="BJ90" s="25">
        <f>SUM(BF90:BI90)</f>
        <v>25000</v>
      </c>
      <c r="BK90" s="23"/>
      <c r="BL90" s="21"/>
      <c r="BM90" s="21">
        <v>30000</v>
      </c>
      <c r="BN90" s="21"/>
      <c r="BO90" s="25">
        <f>SUM(BK90:BN90)</f>
        <v>30000</v>
      </c>
      <c r="BP90" s="23"/>
      <c r="BQ90" s="21"/>
      <c r="BR90" s="21"/>
      <c r="BS90" s="21">
        <v>10000</v>
      </c>
      <c r="BT90" s="25">
        <f t="shared" si="46"/>
        <v>10000</v>
      </c>
      <c r="BU90" s="21"/>
      <c r="BV90" s="26"/>
      <c r="BW90" s="21">
        <v>1500</v>
      </c>
      <c r="BX90" s="21">
        <v>30000</v>
      </c>
      <c r="BY90" s="21"/>
      <c r="BZ90" s="27">
        <f t="shared" si="49"/>
        <v>31500</v>
      </c>
      <c r="CA90" s="26">
        <v>0</v>
      </c>
      <c r="CB90" s="21">
        <v>1500</v>
      </c>
      <c r="CC90" s="21">
        <v>30000</v>
      </c>
      <c r="CD90" s="21"/>
      <c r="CE90" s="27">
        <f t="shared" si="35"/>
        <v>31500</v>
      </c>
      <c r="CF90" s="26">
        <v>1500</v>
      </c>
      <c r="CG90" s="21"/>
      <c r="CH90" s="21">
        <v>30000</v>
      </c>
      <c r="CI90" s="21"/>
      <c r="CJ90" s="27">
        <f t="shared" si="50"/>
        <v>31500</v>
      </c>
    </row>
    <row r="91" spans="2:88" x14ac:dyDescent="0.25">
      <c r="B91" t="s">
        <v>47</v>
      </c>
      <c r="C91" s="17">
        <v>510294000000</v>
      </c>
      <c r="D91" t="s">
        <v>337</v>
      </c>
      <c r="E91" t="str">
        <f t="shared" si="48"/>
        <v>Over $10 Billion</v>
      </c>
      <c r="F91">
        <f>IF(C91="", "", COUNTIF($C$6:C91,"&gt;0"))</f>
        <v>86</v>
      </c>
      <c r="G91" t="str">
        <f>IF(E91&lt;&gt;'[1]By Asset Category'!$B$1,"",COUNTIF($E$6:E91,'[1]By Asset Category'!$B$1))</f>
        <v/>
      </c>
      <c r="H91" s="30" t="s">
        <v>338</v>
      </c>
      <c r="I91" t="s">
        <v>339</v>
      </c>
      <c r="L91" s="33"/>
      <c r="M91" s="34"/>
      <c r="N91" s="19"/>
      <c r="O91" s="19"/>
      <c r="P91" s="19"/>
      <c r="Q91" s="19"/>
      <c r="R91" s="34"/>
      <c r="S91" s="19"/>
      <c r="T91" s="19"/>
      <c r="U91" s="19"/>
      <c r="V91" s="19"/>
      <c r="W91" s="26"/>
      <c r="X91" s="21"/>
      <c r="Y91" s="21"/>
      <c r="Z91" s="21"/>
      <c r="AA91" s="22"/>
      <c r="AB91" s="23"/>
      <c r="AC91" s="21"/>
      <c r="AD91" s="21"/>
      <c r="AE91" s="21"/>
      <c r="AF91" s="35"/>
      <c r="AG91" s="23"/>
      <c r="AH91" s="21"/>
      <c r="AI91" s="21"/>
      <c r="AJ91" s="21"/>
      <c r="AK91" s="25"/>
      <c r="AL91" s="23"/>
      <c r="AM91" s="21"/>
      <c r="AN91" s="21"/>
      <c r="AO91" s="21"/>
      <c r="AP91" s="25"/>
      <c r="AQ91" s="23"/>
      <c r="AR91" s="21"/>
      <c r="AS91" s="21"/>
      <c r="AT91" s="21"/>
      <c r="AU91" s="25"/>
      <c r="AV91" s="23"/>
      <c r="AW91" s="21"/>
      <c r="AX91" s="21"/>
      <c r="AY91" s="21"/>
      <c r="AZ91" s="25"/>
      <c r="BA91" s="23"/>
      <c r="BB91" s="21"/>
      <c r="BC91" s="21"/>
      <c r="BD91" s="21"/>
      <c r="BE91" s="25"/>
      <c r="BF91" s="23"/>
      <c r="BG91" s="21"/>
      <c r="BH91" s="21"/>
      <c r="BI91" s="21"/>
      <c r="BJ91" s="25"/>
      <c r="BK91" s="23"/>
      <c r="BL91" s="21"/>
      <c r="BM91" s="21"/>
      <c r="BN91" s="21"/>
      <c r="BO91" s="25"/>
      <c r="BP91" s="23">
        <f>1325+250</f>
        <v>1575</v>
      </c>
      <c r="BQ91" s="21"/>
      <c r="BR91" s="21">
        <v>2000</v>
      </c>
      <c r="BS91" s="21"/>
      <c r="BT91" s="25">
        <f t="shared" si="46"/>
        <v>3575</v>
      </c>
      <c r="BU91" s="21">
        <v>500</v>
      </c>
      <c r="BV91" s="26"/>
      <c r="BW91" s="21"/>
      <c r="BX91" s="29" t="s">
        <v>3</v>
      </c>
      <c r="BY91" s="21">
        <v>10000</v>
      </c>
      <c r="BZ91" s="27">
        <f t="shared" si="49"/>
        <v>10000</v>
      </c>
      <c r="CA91" s="26">
        <v>0</v>
      </c>
      <c r="CB91" s="21">
        <v>0</v>
      </c>
      <c r="CC91" s="29">
        <v>10000</v>
      </c>
      <c r="CD91" s="21"/>
      <c r="CE91" s="27">
        <f t="shared" si="35"/>
        <v>10000</v>
      </c>
      <c r="CF91" s="26">
        <v>0</v>
      </c>
      <c r="CG91" s="21">
        <v>0</v>
      </c>
      <c r="CH91" s="29"/>
      <c r="CI91" s="21"/>
      <c r="CJ91" s="27">
        <f t="shared" si="50"/>
        <v>0</v>
      </c>
    </row>
    <row r="92" spans="2:88" x14ac:dyDescent="0.25">
      <c r="B92" t="s">
        <v>53</v>
      </c>
      <c r="C92" s="17">
        <v>531217000</v>
      </c>
      <c r="D92" t="s">
        <v>340</v>
      </c>
      <c r="E92" t="str">
        <f t="shared" si="48"/>
        <v>$350 Million - $800 Million</v>
      </c>
      <c r="F92">
        <f>IF(C92="", "", COUNTIF($C$6:C92,"&gt;0"))</f>
        <v>87</v>
      </c>
      <c r="G92" t="str">
        <f>IF(E92&lt;&gt;'[1]By Asset Category'!$B$1,"",COUNTIF($E$6:E92,'[1]By Asset Category'!$B$1))</f>
        <v/>
      </c>
      <c r="H92" t="s">
        <v>341</v>
      </c>
      <c r="I92" t="s">
        <v>342</v>
      </c>
      <c r="J92" t="s">
        <v>343</v>
      </c>
      <c r="K92" t="s">
        <v>344</v>
      </c>
      <c r="L92" s="33" t="s">
        <v>46</v>
      </c>
      <c r="M92" s="34">
        <v>0</v>
      </c>
      <c r="N92" s="19">
        <v>0</v>
      </c>
      <c r="O92" s="19">
        <v>1500</v>
      </c>
      <c r="P92" s="19"/>
      <c r="Q92" s="19">
        <f>SUM(M92:P92)</f>
        <v>1500</v>
      </c>
      <c r="R92" s="34">
        <v>0</v>
      </c>
      <c r="S92" s="19">
        <v>0</v>
      </c>
      <c r="T92" s="19">
        <v>1500</v>
      </c>
      <c r="U92" s="19"/>
      <c r="V92" s="19">
        <f>SUM(R92:U92)</f>
        <v>1500</v>
      </c>
      <c r="W92" s="26">
        <v>0</v>
      </c>
      <c r="X92" s="21">
        <v>0</v>
      </c>
      <c r="Y92" s="21">
        <v>1500</v>
      </c>
      <c r="Z92" s="21"/>
      <c r="AA92" s="22">
        <f>SUM(W92:Z92)</f>
        <v>1500</v>
      </c>
      <c r="AB92" s="23"/>
      <c r="AC92" s="21"/>
      <c r="AD92" s="21">
        <v>2000</v>
      </c>
      <c r="AE92" s="21"/>
      <c r="AF92" s="35">
        <f>SUM(AB92:AE92)</f>
        <v>2000</v>
      </c>
      <c r="AG92" s="23">
        <v>1060</v>
      </c>
      <c r="AH92" s="21"/>
      <c r="AI92" s="21">
        <v>2000</v>
      </c>
      <c r="AJ92" s="21"/>
      <c r="AK92" s="25">
        <f>SUM(AG92:AJ92)</f>
        <v>3060</v>
      </c>
      <c r="AL92" s="23">
        <v>1155</v>
      </c>
      <c r="AM92" s="21"/>
      <c r="AN92" s="21">
        <v>2000</v>
      </c>
      <c r="AO92" s="21"/>
      <c r="AP92" s="25">
        <f>SUM(AL92:AO92)</f>
        <v>3155</v>
      </c>
      <c r="AQ92" s="23">
        <v>1445</v>
      </c>
      <c r="AR92" s="21"/>
      <c r="AS92" s="21">
        <v>2000</v>
      </c>
      <c r="AT92" s="21"/>
      <c r="AU92" s="25">
        <f>SUM(AQ92:AT92)</f>
        <v>3445</v>
      </c>
      <c r="AV92" s="23">
        <v>1580</v>
      </c>
      <c r="AW92" s="21"/>
      <c r="AX92" s="21">
        <v>2000</v>
      </c>
      <c r="AY92" s="21"/>
      <c r="AZ92" s="25">
        <f>SUM(AV92:AY92)</f>
        <v>3580</v>
      </c>
      <c r="BA92" s="23">
        <v>1390</v>
      </c>
      <c r="BB92" s="21"/>
      <c r="BC92" s="21">
        <v>2000</v>
      </c>
      <c r="BD92" s="21"/>
      <c r="BE92" s="25">
        <f>SUM(BA92:BD92)</f>
        <v>3390</v>
      </c>
      <c r="BF92" s="23">
        <v>1015</v>
      </c>
      <c r="BG92" s="21"/>
      <c r="BH92" s="21">
        <v>2000</v>
      </c>
      <c r="BI92" s="21"/>
      <c r="BJ92" s="25">
        <f>SUM(BF92:BI92)</f>
        <v>3015</v>
      </c>
      <c r="BK92" s="23">
        <v>1445</v>
      </c>
      <c r="BL92" s="21"/>
      <c r="BM92" s="21">
        <v>2000</v>
      </c>
      <c r="BN92" s="21"/>
      <c r="BO92" s="25">
        <f>SUM(BK92:BN92)</f>
        <v>3445</v>
      </c>
      <c r="BP92" s="23">
        <v>21669</v>
      </c>
      <c r="BQ92" s="21">
        <v>6250</v>
      </c>
      <c r="BR92" s="21"/>
      <c r="BS92" s="21"/>
      <c r="BT92" s="25">
        <f t="shared" si="46"/>
        <v>27919</v>
      </c>
      <c r="BU92" s="21">
        <v>1500</v>
      </c>
      <c r="BV92" s="26">
        <v>1480</v>
      </c>
      <c r="BW92" s="21"/>
      <c r="BX92" s="21">
        <v>2000</v>
      </c>
      <c r="BY92" s="21"/>
      <c r="BZ92" s="27">
        <f t="shared" si="49"/>
        <v>3480</v>
      </c>
      <c r="CA92" s="26">
        <v>1580</v>
      </c>
      <c r="CB92" s="21">
        <v>0</v>
      </c>
      <c r="CC92" s="21">
        <v>2000</v>
      </c>
      <c r="CD92" s="21"/>
      <c r="CE92" s="27">
        <f t="shared" si="35"/>
        <v>3580</v>
      </c>
      <c r="CF92" s="26">
        <v>1230</v>
      </c>
      <c r="CG92" s="21">
        <v>0</v>
      </c>
      <c r="CH92" s="21">
        <v>3000</v>
      </c>
      <c r="CI92" s="21"/>
      <c r="CJ92" s="27">
        <f t="shared" si="50"/>
        <v>4230</v>
      </c>
    </row>
    <row r="93" spans="2:88" x14ac:dyDescent="0.25">
      <c r="B93" t="s">
        <v>58</v>
      </c>
      <c r="C93" s="17">
        <v>416000000</v>
      </c>
      <c r="D93" t="s">
        <v>345</v>
      </c>
      <c r="E93" t="str">
        <f t="shared" si="48"/>
        <v>$350 Million - $800 Million</v>
      </c>
      <c r="F93">
        <f>IF(C93="", "", COUNTIF($C$6:C93,"&gt;0"))</f>
        <v>88</v>
      </c>
      <c r="G93" t="str">
        <f>IF(E93&lt;&gt;'[1]By Asset Category'!$B$1,"",COUNTIF($E$6:E93,'[1]By Asset Category'!$B$1))</f>
        <v/>
      </c>
      <c r="H93" t="s">
        <v>346</v>
      </c>
      <c r="L93" s="33"/>
      <c r="M93" s="34"/>
      <c r="N93" s="19"/>
      <c r="O93" s="19"/>
      <c r="P93" s="19"/>
      <c r="Q93" s="19"/>
      <c r="R93" s="34"/>
      <c r="S93" s="19"/>
      <c r="T93" s="19"/>
      <c r="U93" s="19"/>
      <c r="V93" s="19"/>
      <c r="W93" s="26"/>
      <c r="X93" s="21"/>
      <c r="Y93" s="21"/>
      <c r="Z93" s="21"/>
      <c r="AA93" s="22"/>
      <c r="AB93" s="23"/>
      <c r="AC93" s="21"/>
      <c r="AD93" s="21"/>
      <c r="AE93" s="21"/>
      <c r="AF93" s="35"/>
      <c r="AG93" s="23"/>
      <c r="AH93" s="21"/>
      <c r="AI93" s="21"/>
      <c r="AJ93" s="21"/>
      <c r="AK93" s="25"/>
      <c r="AL93" s="23"/>
      <c r="AM93" s="21"/>
      <c r="AN93" s="21"/>
      <c r="AO93" s="21"/>
      <c r="AP93" s="25"/>
      <c r="AQ93" s="23"/>
      <c r="AR93" s="21"/>
      <c r="AS93" s="21"/>
      <c r="AT93" s="21"/>
      <c r="AU93" s="25"/>
      <c r="AV93" s="23"/>
      <c r="AW93" s="21"/>
      <c r="AX93" s="21"/>
      <c r="AY93" s="21"/>
      <c r="AZ93" s="25"/>
      <c r="BA93" s="23"/>
      <c r="BB93" s="21"/>
      <c r="BC93" s="21"/>
      <c r="BD93" s="21"/>
      <c r="BE93" s="25"/>
      <c r="BF93" s="23"/>
      <c r="BG93" s="21"/>
      <c r="BH93" s="21"/>
      <c r="BI93" s="21"/>
      <c r="BJ93" s="25"/>
      <c r="BK93" s="23"/>
      <c r="BL93" s="21"/>
      <c r="BM93" s="21"/>
      <c r="BN93" s="21"/>
      <c r="BO93" s="25"/>
      <c r="BP93" s="23"/>
      <c r="BQ93" s="21"/>
      <c r="BR93" s="21"/>
      <c r="BS93" s="21"/>
      <c r="BT93" s="25"/>
      <c r="BU93" s="21"/>
      <c r="BV93" s="26"/>
      <c r="BW93" s="21"/>
      <c r="BX93" s="21"/>
      <c r="BY93" s="21"/>
      <c r="BZ93" s="27"/>
      <c r="CA93" s="26"/>
      <c r="CB93" s="21"/>
      <c r="CC93" s="21"/>
      <c r="CD93" s="21"/>
      <c r="CE93" s="27"/>
      <c r="CF93" s="26"/>
      <c r="CG93" s="21"/>
      <c r="CH93" s="21"/>
      <c r="CI93" s="21"/>
      <c r="CJ93" s="27"/>
    </row>
    <row r="94" spans="2:88" x14ac:dyDescent="0.25">
      <c r="B94" t="s">
        <v>58</v>
      </c>
      <c r="C94" s="17">
        <v>27158306000</v>
      </c>
      <c r="D94" t="s">
        <v>347</v>
      </c>
      <c r="E94" t="str">
        <f t="shared" si="48"/>
        <v>Over $10 Billion</v>
      </c>
      <c r="F94">
        <f>IF(C94="", "", COUNTIF($C$6:C94,"&gt;0"))</f>
        <v>89</v>
      </c>
      <c r="G94" t="str">
        <f>IF(E94&lt;&gt;'[1]By Asset Category'!$B$1,"",COUNTIF($E$6:E94,'[1]By Asset Category'!$B$1))</f>
        <v/>
      </c>
      <c r="H94" t="s">
        <v>348</v>
      </c>
      <c r="I94" t="s">
        <v>121</v>
      </c>
      <c r="J94" t="s">
        <v>349</v>
      </c>
      <c r="K94" t="s">
        <v>350</v>
      </c>
      <c r="L94" s="33" t="s">
        <v>3</v>
      </c>
      <c r="M94" s="34">
        <f>1000+6055</f>
        <v>7055</v>
      </c>
      <c r="N94" s="19">
        <f>800+2500</f>
        <v>3300</v>
      </c>
      <c r="O94" s="19">
        <f>1000+2500</f>
        <v>3500</v>
      </c>
      <c r="P94" s="19"/>
      <c r="Q94" s="19">
        <f>SUM(M94:P94)</f>
        <v>13855</v>
      </c>
      <c r="R94" s="34">
        <f>150+1800</f>
        <v>1950</v>
      </c>
      <c r="S94" s="19">
        <f>850+3000</f>
        <v>3850</v>
      </c>
      <c r="T94" s="19">
        <v>3000</v>
      </c>
      <c r="U94" s="19"/>
      <c r="V94" s="19">
        <f>SUM(R94:U94)</f>
        <v>8800</v>
      </c>
      <c r="W94" s="26">
        <v>5200</v>
      </c>
      <c r="X94" s="21">
        <f>700+4000</f>
        <v>4700</v>
      </c>
      <c r="Y94" s="21">
        <v>5000</v>
      </c>
      <c r="Z94" s="21"/>
      <c r="AA94" s="22">
        <f>SUM(W94:Z94)</f>
        <v>14900</v>
      </c>
      <c r="AB94" s="23">
        <f>665+3635</f>
        <v>4300</v>
      </c>
      <c r="AC94" s="21">
        <f>900+3000</f>
        <v>3900</v>
      </c>
      <c r="AD94" s="21">
        <v>5000</v>
      </c>
      <c r="AE94" s="21"/>
      <c r="AF94" s="35">
        <f>SUM(AB94:AE94)</f>
        <v>13200</v>
      </c>
      <c r="AG94" s="23">
        <f>200+4460</f>
        <v>4660</v>
      </c>
      <c r="AH94" s="21">
        <f>1300+3500</f>
        <v>4800</v>
      </c>
      <c r="AI94" s="21">
        <v>5000</v>
      </c>
      <c r="AJ94" s="21"/>
      <c r="AK94" s="25">
        <f>SUM(AG94:AJ94)</f>
        <v>14460</v>
      </c>
      <c r="AL94" s="23">
        <f>325+2970</f>
        <v>3295</v>
      </c>
      <c r="AM94" s="21">
        <f>800+3500</f>
        <v>4300</v>
      </c>
      <c r="AN94" s="21">
        <v>5000</v>
      </c>
      <c r="AO94" s="21"/>
      <c r="AP94" s="25">
        <f>SUM(AL94:AO94)</f>
        <v>12595</v>
      </c>
      <c r="AQ94" s="23"/>
      <c r="AR94" s="21"/>
      <c r="AS94" s="21"/>
      <c r="AT94" s="21"/>
      <c r="AU94" s="25">
        <f>SUM(AQ94:AT94)</f>
        <v>0</v>
      </c>
      <c r="AV94" s="23">
        <v>1125</v>
      </c>
      <c r="AW94" s="21">
        <v>3050</v>
      </c>
      <c r="AX94" s="21"/>
      <c r="AY94" s="21"/>
      <c r="AZ94" s="25">
        <f>SUM(AV94:AY94)</f>
        <v>4175</v>
      </c>
      <c r="BA94" s="23">
        <v>6900</v>
      </c>
      <c r="BB94" s="21">
        <v>2950</v>
      </c>
      <c r="BC94" s="21"/>
      <c r="BD94" s="21"/>
      <c r="BE94" s="25">
        <f>SUM(BA94:BD94)</f>
        <v>9850</v>
      </c>
      <c r="BF94" s="23">
        <v>9169</v>
      </c>
      <c r="BG94" s="21">
        <v>5250</v>
      </c>
      <c r="BH94" s="21"/>
      <c r="BI94" s="21"/>
      <c r="BJ94" s="25">
        <f>SUM(BF94:BI94)</f>
        <v>14419</v>
      </c>
      <c r="BK94" s="23">
        <v>21250</v>
      </c>
      <c r="BL94" s="21">
        <v>6650</v>
      </c>
      <c r="BM94" s="21"/>
      <c r="BN94" s="21"/>
      <c r="BO94" s="25">
        <f>SUM(BK94:BN94)</f>
        <v>27900</v>
      </c>
      <c r="BP94" s="62">
        <v>6600</v>
      </c>
      <c r="BQ94" s="22"/>
      <c r="BR94" s="22">
        <v>1500</v>
      </c>
      <c r="BS94" s="22"/>
      <c r="BT94" s="25">
        <f t="shared" si="46"/>
        <v>8100</v>
      </c>
      <c r="BU94" s="22"/>
      <c r="BV94" s="26">
        <v>22345.13</v>
      </c>
      <c r="BW94" s="21">
        <v>8000</v>
      </c>
      <c r="BX94" s="21"/>
      <c r="BY94" s="21"/>
      <c r="BZ94" s="27">
        <f t="shared" si="49"/>
        <v>30345.13</v>
      </c>
      <c r="CA94" s="26">
        <v>51747</v>
      </c>
      <c r="CB94" s="21">
        <v>10250</v>
      </c>
      <c r="CC94" s="21"/>
      <c r="CD94" s="21"/>
      <c r="CE94" s="27">
        <f t="shared" si="35"/>
        <v>61997</v>
      </c>
      <c r="CF94" s="26">
        <v>22340</v>
      </c>
      <c r="CG94" s="21">
        <v>1100</v>
      </c>
      <c r="CH94" s="21"/>
      <c r="CI94" s="21"/>
      <c r="CJ94" s="27">
        <f t="shared" ref="CJ94:CJ101" si="61">SUM(CF94:CI94)</f>
        <v>23440</v>
      </c>
    </row>
    <row r="95" spans="2:88" x14ac:dyDescent="0.25">
      <c r="B95" t="s">
        <v>351</v>
      </c>
      <c r="C95" s="17"/>
      <c r="D95" t="s">
        <v>352</v>
      </c>
      <c r="E95" t="str">
        <f t="shared" si="48"/>
        <v/>
      </c>
      <c r="F95" t="str">
        <f>IF(C95="", "", COUNTIF($C$6:C95,"&gt;0"))</f>
        <v/>
      </c>
      <c r="G95" t="str">
        <f>IF(E95&lt;&gt;'[1]By Asset Category'!$B$1,"",COUNTIF($E$6:E95,'[1]By Asset Category'!$B$1))</f>
        <v/>
      </c>
      <c r="L95" s="22"/>
      <c r="M95" s="63"/>
      <c r="N95" s="22"/>
      <c r="O95" s="22"/>
      <c r="P95" s="22"/>
      <c r="Q95" s="22"/>
      <c r="R95" s="63"/>
      <c r="S95" s="22"/>
      <c r="T95" s="22"/>
      <c r="U95" s="22"/>
      <c r="V95" s="22"/>
      <c r="W95" s="63"/>
      <c r="X95" s="22"/>
      <c r="Y95" s="22"/>
      <c r="Z95" s="22"/>
      <c r="AA95" s="22"/>
      <c r="AB95" s="64"/>
      <c r="AC95" s="22"/>
      <c r="AD95" s="22"/>
      <c r="AE95" s="22"/>
      <c r="AF95" s="22"/>
      <c r="AG95" s="64"/>
      <c r="AH95" s="22"/>
      <c r="AI95" s="22"/>
      <c r="AJ95" s="22"/>
      <c r="AK95" s="25"/>
      <c r="AL95" s="64"/>
      <c r="AM95" s="22"/>
      <c r="AN95" s="22"/>
      <c r="AO95" s="22"/>
      <c r="AP95" s="25"/>
      <c r="AQ95" s="64"/>
      <c r="AR95" s="22"/>
      <c r="AS95" s="22"/>
      <c r="AT95" s="22"/>
      <c r="AU95" s="25"/>
      <c r="AV95" s="64"/>
      <c r="AW95" s="22"/>
      <c r="AX95" s="22"/>
      <c r="AY95" s="22"/>
      <c r="AZ95" s="25"/>
      <c r="BA95" s="64"/>
      <c r="BB95" s="22"/>
      <c r="BC95" s="22"/>
      <c r="BD95" s="22"/>
      <c r="BE95" s="25"/>
      <c r="BF95" s="64"/>
      <c r="BG95" s="22"/>
      <c r="BH95" s="22"/>
      <c r="BI95" s="22"/>
      <c r="BJ95" s="25"/>
      <c r="BK95" s="64">
        <v>7553.94</v>
      </c>
      <c r="BL95" s="22"/>
      <c r="BM95" s="22">
        <v>1500</v>
      </c>
      <c r="BN95" s="22"/>
      <c r="BO95" s="25"/>
      <c r="BP95" s="23"/>
      <c r="BQ95" s="21"/>
      <c r="BR95" s="21"/>
      <c r="BS95" s="21"/>
      <c r="BT95" s="25">
        <f t="shared" si="46"/>
        <v>0</v>
      </c>
      <c r="BU95" s="21"/>
      <c r="BV95" s="63">
        <v>6775.92</v>
      </c>
      <c r="BW95" s="22"/>
      <c r="BX95" s="22"/>
      <c r="BY95" s="22"/>
      <c r="BZ95" s="27">
        <f t="shared" si="49"/>
        <v>6775.92</v>
      </c>
      <c r="CA95" s="63">
        <v>6531.3</v>
      </c>
      <c r="CB95" s="22">
        <v>0</v>
      </c>
      <c r="CC95" s="22">
        <v>1500</v>
      </c>
      <c r="CD95" s="22"/>
      <c r="CE95" s="27">
        <f t="shared" si="35"/>
        <v>8031.3</v>
      </c>
      <c r="CF95" s="63">
        <v>1829.48</v>
      </c>
      <c r="CG95" s="22">
        <v>0</v>
      </c>
      <c r="CH95" s="22">
        <v>1500</v>
      </c>
      <c r="CI95" s="22">
        <v>0</v>
      </c>
      <c r="CJ95" s="27">
        <f t="shared" si="61"/>
        <v>3329.48</v>
      </c>
    </row>
    <row r="96" spans="2:88" x14ac:dyDescent="0.25">
      <c r="B96" t="s">
        <v>41</v>
      </c>
      <c r="C96" s="17">
        <v>233397000</v>
      </c>
      <c r="D96" t="s">
        <v>353</v>
      </c>
      <c r="E96" t="str">
        <f t="shared" si="48"/>
        <v>Less than $350 Million</v>
      </c>
      <c r="F96">
        <f>IF(C96="", "", COUNTIF($C$6:C96,"&gt;0"))</f>
        <v>90</v>
      </c>
      <c r="G96" t="str">
        <f>IF(E96&lt;&gt;'[1]By Asset Category'!$B$1,"",COUNTIF($E$6:E96,'[1]By Asset Category'!$B$1))</f>
        <v/>
      </c>
      <c r="H96" t="s">
        <v>354</v>
      </c>
      <c r="I96" t="s">
        <v>38</v>
      </c>
      <c r="J96" t="s">
        <v>355</v>
      </c>
      <c r="K96" t="s">
        <v>356</v>
      </c>
      <c r="L96" s="33"/>
      <c r="M96" s="34">
        <v>0</v>
      </c>
      <c r="N96" s="19">
        <v>0</v>
      </c>
      <c r="O96" s="19">
        <v>0</v>
      </c>
      <c r="P96" s="19">
        <v>0</v>
      </c>
      <c r="Q96" s="19">
        <f t="shared" ref="Q96:Q101" si="62">SUM(M96:P96)</f>
        <v>0</v>
      </c>
      <c r="R96" s="34">
        <v>0</v>
      </c>
      <c r="S96" s="19">
        <v>0</v>
      </c>
      <c r="T96" s="19">
        <v>0</v>
      </c>
      <c r="U96" s="19">
        <v>0</v>
      </c>
      <c r="V96" s="19">
        <f t="shared" ref="V96:V101" si="63">SUM(R96:U96)</f>
        <v>0</v>
      </c>
      <c r="W96" s="26">
        <v>0</v>
      </c>
      <c r="X96" s="21">
        <v>0</v>
      </c>
      <c r="Y96" s="21">
        <v>0</v>
      </c>
      <c r="Z96" s="21">
        <v>0</v>
      </c>
      <c r="AA96" s="22">
        <f t="shared" ref="AA96:AA101" si="64">SUM(W96:Z96)</f>
        <v>0</v>
      </c>
      <c r="AB96" s="23"/>
      <c r="AC96" s="21"/>
      <c r="AD96" s="21">
        <v>500</v>
      </c>
      <c r="AE96" s="21"/>
      <c r="AF96" s="35">
        <f t="shared" ref="AF96:AF101" si="65">SUM(AB96:AE96)</f>
        <v>500</v>
      </c>
      <c r="AG96" s="23"/>
      <c r="AH96" s="21"/>
      <c r="AI96" s="21">
        <v>500</v>
      </c>
      <c r="AJ96" s="21"/>
      <c r="AK96" s="25">
        <f t="shared" ref="AK96:AK101" si="66">SUM(AG96:AJ96)</f>
        <v>500</v>
      </c>
      <c r="AL96" s="23"/>
      <c r="AM96" s="21"/>
      <c r="AN96" s="21">
        <v>500</v>
      </c>
      <c r="AO96" s="21"/>
      <c r="AP96" s="25">
        <f t="shared" ref="AP96:AP101" si="67">SUM(AL96:AO96)</f>
        <v>500</v>
      </c>
      <c r="AQ96" s="23"/>
      <c r="AR96" s="21"/>
      <c r="AS96" s="21"/>
      <c r="AT96" s="21"/>
      <c r="AU96" s="25">
        <f t="shared" ref="AU96:AU101" si="68">SUM(AQ96:AT96)</f>
        <v>0</v>
      </c>
      <c r="AV96" s="23"/>
      <c r="AW96" s="21"/>
      <c r="AX96" s="21">
        <v>750</v>
      </c>
      <c r="AY96" s="21"/>
      <c r="AZ96" s="25">
        <f t="shared" ref="AZ96:AZ101" si="69">SUM(AV96:AY96)</f>
        <v>750</v>
      </c>
      <c r="BA96" s="23"/>
      <c r="BB96" s="21"/>
      <c r="BC96" s="21">
        <v>1000</v>
      </c>
      <c r="BD96" s="21"/>
      <c r="BE96" s="25">
        <f t="shared" ref="BE96:BE101" si="70">SUM(BA96:BD96)</f>
        <v>1000</v>
      </c>
      <c r="BF96" s="23"/>
      <c r="BG96" s="21"/>
      <c r="BH96" s="21"/>
      <c r="BI96" s="21"/>
      <c r="BJ96" s="25">
        <f>SUM(BF96:BI96)</f>
        <v>0</v>
      </c>
      <c r="BK96" s="23"/>
      <c r="BL96" s="21"/>
      <c r="BM96" s="21">
        <v>500</v>
      </c>
      <c r="BN96" s="21"/>
      <c r="BO96" s="25">
        <f>SUM(BK96:BN96)</f>
        <v>500</v>
      </c>
      <c r="BP96" s="23">
        <v>90</v>
      </c>
      <c r="BQ96" s="21"/>
      <c r="BR96" s="21">
        <v>250</v>
      </c>
      <c r="BS96" s="21"/>
      <c r="BT96" s="25">
        <f t="shared" si="46"/>
        <v>340</v>
      </c>
      <c r="BU96" s="21"/>
      <c r="BV96" s="26"/>
      <c r="BW96" s="21"/>
      <c r="BX96" s="21"/>
      <c r="BY96" s="21"/>
      <c r="BZ96" s="27">
        <f t="shared" si="49"/>
        <v>0</v>
      </c>
      <c r="CA96" s="26"/>
      <c r="CB96" s="21"/>
      <c r="CC96" s="21"/>
      <c r="CD96" s="21"/>
      <c r="CE96" s="27">
        <f t="shared" si="35"/>
        <v>0</v>
      </c>
      <c r="CF96" s="26"/>
      <c r="CG96" s="21"/>
      <c r="CH96" s="21"/>
      <c r="CI96" s="21"/>
      <c r="CJ96" s="27">
        <f t="shared" si="61"/>
        <v>0</v>
      </c>
    </row>
    <row r="97" spans="1:88" x14ac:dyDescent="0.25">
      <c r="B97" t="s">
        <v>41</v>
      </c>
      <c r="C97" s="17">
        <v>717692000</v>
      </c>
      <c r="D97" t="s">
        <v>357</v>
      </c>
      <c r="E97" t="str">
        <f t="shared" si="48"/>
        <v>$350 Million - $800 Million</v>
      </c>
      <c r="F97">
        <f>IF(C97="", "", COUNTIF($C$6:C97,"&gt;0"))</f>
        <v>91</v>
      </c>
      <c r="G97" t="str">
        <f>IF(E97&lt;&gt;'[1]By Asset Category'!$B$1,"",COUNTIF($E$6:E97,'[1]By Asset Category'!$B$1))</f>
        <v/>
      </c>
      <c r="H97" t="s">
        <v>358</v>
      </c>
      <c r="I97" t="s">
        <v>121</v>
      </c>
      <c r="J97" t="s">
        <v>359</v>
      </c>
      <c r="K97" t="s">
        <v>360</v>
      </c>
      <c r="L97" s="33" t="s">
        <v>3</v>
      </c>
      <c r="M97" s="34">
        <v>75</v>
      </c>
      <c r="N97" s="19">
        <f>150+1150</f>
        <v>1300</v>
      </c>
      <c r="O97" s="19">
        <f>100+300</f>
        <v>400</v>
      </c>
      <c r="P97" s="19"/>
      <c r="Q97" s="19">
        <f t="shared" si="62"/>
        <v>1775</v>
      </c>
      <c r="R97" s="34">
        <v>250</v>
      </c>
      <c r="S97" s="19">
        <v>100</v>
      </c>
      <c r="T97" s="19">
        <v>0</v>
      </c>
      <c r="U97" s="19"/>
      <c r="V97" s="19">
        <f t="shared" si="63"/>
        <v>350</v>
      </c>
      <c r="W97" s="26">
        <v>495</v>
      </c>
      <c r="X97" s="21">
        <v>0</v>
      </c>
      <c r="Y97" s="21">
        <v>0</v>
      </c>
      <c r="Z97" s="21"/>
      <c r="AA97" s="22">
        <f t="shared" si="64"/>
        <v>495</v>
      </c>
      <c r="AB97" s="23">
        <v>425</v>
      </c>
      <c r="AC97" s="21">
        <v>750</v>
      </c>
      <c r="AD97" s="21"/>
      <c r="AE97" s="21"/>
      <c r="AF97" s="35">
        <f t="shared" si="65"/>
        <v>1175</v>
      </c>
      <c r="AG97" s="23">
        <v>1060</v>
      </c>
      <c r="AH97" s="21">
        <v>100</v>
      </c>
      <c r="AI97" s="21"/>
      <c r="AJ97" s="21"/>
      <c r="AK97" s="25">
        <f t="shared" si="66"/>
        <v>1160</v>
      </c>
      <c r="AL97" s="23">
        <v>3010</v>
      </c>
      <c r="AM97" s="21">
        <v>1450</v>
      </c>
      <c r="AN97" s="21">
        <v>550</v>
      </c>
      <c r="AO97" s="21"/>
      <c r="AP97" s="25">
        <f t="shared" si="67"/>
        <v>5010</v>
      </c>
      <c r="AQ97" s="23">
        <f>775+25</f>
        <v>800</v>
      </c>
      <c r="AR97" s="21">
        <v>400</v>
      </c>
      <c r="AS97" s="21"/>
      <c r="AT97" s="21"/>
      <c r="AU97" s="25">
        <f t="shared" si="68"/>
        <v>1200</v>
      </c>
      <c r="AV97" s="23">
        <v>300</v>
      </c>
      <c r="AW97" s="21">
        <v>600</v>
      </c>
      <c r="AX97" s="21"/>
      <c r="AY97" s="21"/>
      <c r="AZ97" s="25">
        <f t="shared" si="69"/>
        <v>900</v>
      </c>
      <c r="BA97" s="23">
        <v>550</v>
      </c>
      <c r="BB97" s="21">
        <v>1050</v>
      </c>
      <c r="BC97" s="21"/>
      <c r="BD97" s="21"/>
      <c r="BE97" s="25">
        <f t="shared" si="70"/>
        <v>1600</v>
      </c>
      <c r="BF97" s="23">
        <v>450</v>
      </c>
      <c r="BG97" s="21">
        <v>850</v>
      </c>
      <c r="BH97" s="21"/>
      <c r="BI97" s="21"/>
      <c r="BJ97" s="25">
        <f>SUM(BF97:BI97)</f>
        <v>1300</v>
      </c>
      <c r="BK97" s="23"/>
      <c r="BL97" s="21"/>
      <c r="BM97" s="21"/>
      <c r="BN97" s="21"/>
      <c r="BO97" s="25">
        <f>SUM(BK97:BN97)</f>
        <v>0</v>
      </c>
      <c r="BP97" s="23"/>
      <c r="BQ97" s="21"/>
      <c r="BR97" s="21">
        <v>2000</v>
      </c>
      <c r="BT97" s="25">
        <f t="shared" si="46"/>
        <v>2000</v>
      </c>
      <c r="BV97" s="26"/>
      <c r="BW97" s="21"/>
      <c r="BX97" s="21"/>
      <c r="BY97" s="21"/>
      <c r="BZ97" s="27">
        <f t="shared" si="49"/>
        <v>0</v>
      </c>
      <c r="CA97" s="26">
        <v>200</v>
      </c>
      <c r="CB97" s="21">
        <v>550</v>
      </c>
      <c r="CC97" s="21">
        <v>0</v>
      </c>
      <c r="CD97" s="21"/>
      <c r="CE97" s="27">
        <f t="shared" si="35"/>
        <v>750</v>
      </c>
      <c r="CF97" s="26">
        <v>265</v>
      </c>
      <c r="CG97" s="21">
        <v>100</v>
      </c>
      <c r="CH97" s="21">
        <v>0</v>
      </c>
      <c r="CI97" s="21"/>
      <c r="CJ97" s="27">
        <f t="shared" si="61"/>
        <v>365</v>
      </c>
    </row>
    <row r="98" spans="1:88" x14ac:dyDescent="0.25">
      <c r="B98" t="s">
        <v>35</v>
      </c>
      <c r="C98" s="17">
        <v>1847448000</v>
      </c>
      <c r="D98" t="s">
        <v>361</v>
      </c>
      <c r="E98" t="str">
        <f t="shared" si="48"/>
        <v>$800 Million - $2 Billion</v>
      </c>
      <c r="F98">
        <f>IF(C98="", "", COUNTIF($C$6:C98,"&gt;0"))</f>
        <v>92</v>
      </c>
      <c r="G98">
        <f>IF(E98&lt;&gt;'[1]By Asset Category'!$B$1,"",COUNTIF($E$6:E98,'[1]By Asset Category'!$B$1))</f>
        <v>20</v>
      </c>
      <c r="H98" t="s">
        <v>362</v>
      </c>
      <c r="I98" t="s">
        <v>38</v>
      </c>
      <c r="J98" t="s">
        <v>363</v>
      </c>
      <c r="K98" t="s">
        <v>364</v>
      </c>
      <c r="L98" s="33"/>
      <c r="M98" s="34">
        <v>0</v>
      </c>
      <c r="N98" s="19">
        <v>0</v>
      </c>
      <c r="O98" s="19">
        <v>0</v>
      </c>
      <c r="P98" s="19">
        <v>0</v>
      </c>
      <c r="Q98" s="19">
        <f t="shared" si="62"/>
        <v>0</v>
      </c>
      <c r="R98" s="34">
        <v>0</v>
      </c>
      <c r="S98" s="19">
        <v>0</v>
      </c>
      <c r="T98" s="19">
        <v>0</v>
      </c>
      <c r="U98" s="19">
        <v>0</v>
      </c>
      <c r="V98" s="19">
        <f t="shared" si="63"/>
        <v>0</v>
      </c>
      <c r="W98" s="26">
        <v>0</v>
      </c>
      <c r="X98" s="21">
        <v>0</v>
      </c>
      <c r="Y98" s="21">
        <v>0</v>
      </c>
      <c r="Z98" s="21"/>
      <c r="AA98" s="22">
        <f t="shared" si="64"/>
        <v>0</v>
      </c>
      <c r="AB98" s="23"/>
      <c r="AC98" s="21"/>
      <c r="AD98" s="21"/>
      <c r="AE98" s="21"/>
      <c r="AF98" s="35">
        <f t="shared" si="65"/>
        <v>0</v>
      </c>
      <c r="AG98" s="23"/>
      <c r="AH98" s="21"/>
      <c r="AI98" s="21"/>
      <c r="AJ98" s="21"/>
      <c r="AK98" s="25">
        <f t="shared" si="66"/>
        <v>0</v>
      </c>
      <c r="AL98" s="23"/>
      <c r="AM98" s="21"/>
      <c r="AN98" s="21"/>
      <c r="AO98" s="21"/>
      <c r="AP98" s="25">
        <f t="shared" si="67"/>
        <v>0</v>
      </c>
      <c r="AQ98" s="23"/>
      <c r="AR98" s="21"/>
      <c r="AS98" s="21"/>
      <c r="AT98" s="21"/>
      <c r="AU98" s="25">
        <f t="shared" si="68"/>
        <v>0</v>
      </c>
      <c r="AV98" s="23"/>
      <c r="AW98" s="21"/>
      <c r="AX98" s="21"/>
      <c r="AY98" s="21"/>
      <c r="AZ98" s="25">
        <f t="shared" si="69"/>
        <v>0</v>
      </c>
      <c r="BA98" s="23"/>
      <c r="BB98" s="21"/>
      <c r="BC98" s="21"/>
      <c r="BD98" s="21"/>
      <c r="BE98" s="25">
        <f t="shared" si="70"/>
        <v>0</v>
      </c>
      <c r="BF98" s="23"/>
      <c r="BG98" s="21"/>
      <c r="BH98" s="21"/>
      <c r="BI98" s="21"/>
      <c r="BJ98" s="25">
        <f>SUM(BF98:BH98)</f>
        <v>0</v>
      </c>
      <c r="BK98" s="23"/>
      <c r="BL98" s="21"/>
      <c r="BM98" s="29">
        <v>5000</v>
      </c>
      <c r="BN98" s="21"/>
      <c r="BO98" s="25">
        <f>SUM(BK98:BM98)</f>
        <v>5000</v>
      </c>
      <c r="BP98" s="23"/>
      <c r="BQ98" s="21"/>
      <c r="BR98" s="21">
        <v>2500</v>
      </c>
      <c r="BS98" s="21"/>
      <c r="BT98" s="25">
        <f t="shared" si="46"/>
        <v>2500</v>
      </c>
      <c r="BU98" s="21"/>
      <c r="BV98" s="26"/>
      <c r="BW98" s="21"/>
      <c r="BX98" s="21">
        <v>5000</v>
      </c>
      <c r="BY98" s="21"/>
      <c r="BZ98" s="27">
        <f t="shared" si="49"/>
        <v>5000</v>
      </c>
      <c r="CA98" s="26">
        <v>215.04</v>
      </c>
      <c r="CB98" s="21"/>
      <c r="CC98" s="21">
        <v>10000</v>
      </c>
      <c r="CD98" s="21"/>
      <c r="CE98" s="27">
        <f t="shared" si="35"/>
        <v>10215.040000000001</v>
      </c>
      <c r="CF98" s="26"/>
      <c r="CG98" s="21"/>
      <c r="CH98" s="21"/>
      <c r="CI98" s="21"/>
      <c r="CJ98" s="27">
        <f t="shared" si="61"/>
        <v>0</v>
      </c>
    </row>
    <row r="99" spans="1:88" x14ac:dyDescent="0.25">
      <c r="B99" t="s">
        <v>58</v>
      </c>
      <c r="C99" s="17">
        <v>593402000</v>
      </c>
      <c r="D99" t="s">
        <v>365</v>
      </c>
      <c r="E99" t="str">
        <f t="shared" si="48"/>
        <v>$350 Million - $800 Million</v>
      </c>
      <c r="F99">
        <f>IF(C99="", "", COUNTIF($C$6:C99,"&gt;0"))</f>
        <v>93</v>
      </c>
      <c r="G99" t="str">
        <f>IF(E99&lt;&gt;'[1]By Asset Category'!$B$1,"",COUNTIF($E$6:E99,'[1]By Asset Category'!$B$1))</f>
        <v/>
      </c>
      <c r="H99" t="s">
        <v>366</v>
      </c>
      <c r="I99" t="s">
        <v>38</v>
      </c>
      <c r="J99" t="s">
        <v>367</v>
      </c>
      <c r="K99" t="s">
        <v>368</v>
      </c>
      <c r="L99" s="33"/>
      <c r="M99" s="34">
        <v>0</v>
      </c>
      <c r="N99" s="19">
        <v>0</v>
      </c>
      <c r="O99" s="19">
        <v>0</v>
      </c>
      <c r="P99" s="19">
        <v>0</v>
      </c>
      <c r="Q99" s="19">
        <f t="shared" si="62"/>
        <v>0</v>
      </c>
      <c r="R99" s="34">
        <v>0</v>
      </c>
      <c r="S99" s="19">
        <v>0</v>
      </c>
      <c r="T99" s="19">
        <v>0</v>
      </c>
      <c r="U99" s="19">
        <v>0</v>
      </c>
      <c r="V99" s="19">
        <f t="shared" si="63"/>
        <v>0</v>
      </c>
      <c r="W99" s="26">
        <v>0</v>
      </c>
      <c r="X99" s="21">
        <v>0</v>
      </c>
      <c r="Y99" s="21">
        <v>0</v>
      </c>
      <c r="Z99" s="21"/>
      <c r="AA99" s="22">
        <f t="shared" si="64"/>
        <v>0</v>
      </c>
      <c r="AB99" s="23"/>
      <c r="AC99" s="21"/>
      <c r="AD99" s="21"/>
      <c r="AE99" s="21"/>
      <c r="AF99" s="35">
        <f t="shared" si="65"/>
        <v>0</v>
      </c>
      <c r="AG99" s="23">
        <v>140</v>
      </c>
      <c r="AH99" s="21">
        <v>1425</v>
      </c>
      <c r="AI99" s="21">
        <v>2000</v>
      </c>
      <c r="AJ99" s="21"/>
      <c r="AK99" s="25">
        <f t="shared" si="66"/>
        <v>3565</v>
      </c>
      <c r="AL99" s="23">
        <v>100</v>
      </c>
      <c r="AM99" s="21">
        <v>1050</v>
      </c>
      <c r="AN99" s="21">
        <v>2000</v>
      </c>
      <c r="AO99" s="21"/>
      <c r="AP99" s="25">
        <f t="shared" si="67"/>
        <v>3150</v>
      </c>
      <c r="AQ99" s="23">
        <v>375</v>
      </c>
      <c r="AR99" s="21">
        <v>500</v>
      </c>
      <c r="AS99" s="21">
        <v>2000</v>
      </c>
      <c r="AT99" s="21"/>
      <c r="AU99" s="25">
        <f t="shared" si="68"/>
        <v>2875</v>
      </c>
      <c r="AV99" s="23">
        <v>300</v>
      </c>
      <c r="AW99" s="21">
        <v>700</v>
      </c>
      <c r="AX99" s="21">
        <v>1000</v>
      </c>
      <c r="AY99" s="21"/>
      <c r="AZ99" s="25">
        <f t="shared" si="69"/>
        <v>2000</v>
      </c>
      <c r="BA99" s="23">
        <v>100</v>
      </c>
      <c r="BB99" s="21">
        <v>500</v>
      </c>
      <c r="BC99" s="21">
        <v>2000</v>
      </c>
      <c r="BD99" s="21"/>
      <c r="BE99" s="25">
        <f t="shared" si="70"/>
        <v>2600</v>
      </c>
      <c r="BF99" s="23">
        <v>50</v>
      </c>
      <c r="BG99" s="21">
        <v>200</v>
      </c>
      <c r="BH99" s="21">
        <v>2500</v>
      </c>
      <c r="BI99" s="21"/>
      <c r="BJ99" s="25">
        <f>SUM(BF99:BI99)</f>
        <v>2750</v>
      </c>
      <c r="BK99" s="23">
        <v>800</v>
      </c>
      <c r="BL99" s="21">
        <v>1000</v>
      </c>
      <c r="BM99" s="21">
        <v>2500</v>
      </c>
      <c r="BN99" s="21"/>
      <c r="BO99" s="25">
        <f>SUM(BK99:BN99)</f>
        <v>4300</v>
      </c>
      <c r="BP99" s="23"/>
      <c r="BQ99" s="21"/>
      <c r="BR99" s="21"/>
      <c r="BS99" s="21">
        <v>2000</v>
      </c>
      <c r="BT99" s="25">
        <f t="shared" si="46"/>
        <v>2000</v>
      </c>
      <c r="BU99" s="21"/>
      <c r="BV99" s="26"/>
      <c r="BW99" s="21"/>
      <c r="BX99" s="21"/>
      <c r="BY99" s="21"/>
      <c r="BZ99" s="27">
        <f t="shared" si="49"/>
        <v>0</v>
      </c>
      <c r="CA99" s="26"/>
      <c r="CB99" s="21"/>
      <c r="CC99" s="21"/>
      <c r="CD99" s="21"/>
      <c r="CE99" s="27">
        <f t="shared" si="35"/>
        <v>0</v>
      </c>
      <c r="CF99" s="26"/>
      <c r="CG99" s="21"/>
      <c r="CH99" s="21"/>
      <c r="CI99" s="21"/>
      <c r="CJ99" s="27">
        <f t="shared" si="61"/>
        <v>0</v>
      </c>
    </row>
    <row r="100" spans="1:88" x14ac:dyDescent="0.25">
      <c r="B100" t="s">
        <v>47</v>
      </c>
      <c r="C100" s="17">
        <v>1776718000000</v>
      </c>
      <c r="D100" t="s">
        <v>369</v>
      </c>
      <c r="E100" t="str">
        <f t="shared" si="48"/>
        <v>Over $10 Billion</v>
      </c>
      <c r="F100">
        <f>IF(C100="", "", COUNTIF($C$6:C100,"&gt;0"))</f>
        <v>94</v>
      </c>
      <c r="G100" t="str">
        <f>IF(E100&lt;&gt;'[1]By Asset Category'!$B$1,"",COUNTIF($E$6:E100,'[1]By Asset Category'!$B$1))</f>
        <v/>
      </c>
      <c r="H100" t="s">
        <v>370</v>
      </c>
      <c r="I100" t="s">
        <v>3</v>
      </c>
      <c r="J100" t="s">
        <v>3</v>
      </c>
      <c r="K100" t="s">
        <v>3</v>
      </c>
      <c r="L100" s="33"/>
      <c r="M100" s="34"/>
      <c r="N100" s="19"/>
      <c r="O100" s="19"/>
      <c r="P100" s="19">
        <v>10000</v>
      </c>
      <c r="Q100" s="19">
        <f t="shared" si="62"/>
        <v>10000</v>
      </c>
      <c r="R100" s="34"/>
      <c r="S100" s="19"/>
      <c r="T100" s="19"/>
      <c r="U100" s="19"/>
      <c r="V100" s="19">
        <f t="shared" si="63"/>
        <v>0</v>
      </c>
      <c r="W100" s="26"/>
      <c r="X100" s="21"/>
      <c r="Y100" s="21"/>
      <c r="Z100" s="21"/>
      <c r="AA100" s="22">
        <f t="shared" si="64"/>
        <v>0</v>
      </c>
      <c r="AB100" s="23"/>
      <c r="AC100" s="21"/>
      <c r="AD100" s="21"/>
      <c r="AE100" s="21"/>
      <c r="AF100" s="35">
        <f t="shared" si="65"/>
        <v>0</v>
      </c>
      <c r="AG100" s="23"/>
      <c r="AH100" s="21"/>
      <c r="AI100" s="21"/>
      <c r="AJ100" s="21"/>
      <c r="AK100" s="25">
        <f t="shared" si="66"/>
        <v>0</v>
      </c>
      <c r="AL100" s="23"/>
      <c r="AM100" s="21"/>
      <c r="AN100" s="21"/>
      <c r="AO100" s="21"/>
      <c r="AP100" s="25">
        <f t="shared" si="67"/>
        <v>0</v>
      </c>
      <c r="AQ100" s="23">
        <v>448</v>
      </c>
      <c r="AR100" s="21"/>
      <c r="AS100" s="21"/>
      <c r="AT100" s="21">
        <v>1000</v>
      </c>
      <c r="AU100" s="25">
        <f t="shared" si="68"/>
        <v>1448</v>
      </c>
      <c r="AV100" s="23"/>
      <c r="AW100" s="21"/>
      <c r="AX100" s="21"/>
      <c r="AY100" s="21">
        <v>2000</v>
      </c>
      <c r="AZ100" s="25">
        <f t="shared" si="69"/>
        <v>2000</v>
      </c>
      <c r="BA100" s="23"/>
      <c r="BB100" s="21"/>
      <c r="BC100" s="21"/>
      <c r="BD100" s="21">
        <v>2000</v>
      </c>
      <c r="BE100" s="25">
        <f t="shared" si="70"/>
        <v>2000</v>
      </c>
      <c r="BF100" s="23"/>
      <c r="BG100" s="21"/>
      <c r="BH100" s="21"/>
      <c r="BI100" s="21">
        <v>2000</v>
      </c>
      <c r="BJ100" s="25"/>
      <c r="BK100" s="23"/>
      <c r="BL100" s="21"/>
      <c r="BM100" s="21"/>
      <c r="BN100" s="21">
        <v>2000</v>
      </c>
      <c r="BO100" s="25">
        <f>SUM(BK100:BN100)</f>
        <v>2000</v>
      </c>
      <c r="BP100" s="21"/>
      <c r="BQ100" s="21"/>
      <c r="BR100" s="21"/>
      <c r="BS100" s="21"/>
      <c r="BT100" s="25"/>
      <c r="BU100" s="21"/>
      <c r="BV100" s="26"/>
      <c r="BW100" s="21"/>
      <c r="BX100" s="21"/>
      <c r="BY100" s="21">
        <v>5250</v>
      </c>
      <c r="BZ100" s="27">
        <f t="shared" si="49"/>
        <v>5250</v>
      </c>
      <c r="CA100" s="26"/>
      <c r="CB100" s="21"/>
      <c r="CC100" s="21">
        <v>3000</v>
      </c>
      <c r="CD100" s="21"/>
      <c r="CE100" s="27">
        <f t="shared" si="35"/>
        <v>3000</v>
      </c>
      <c r="CF100" s="26"/>
      <c r="CG100" s="21"/>
      <c r="CH100" s="21"/>
      <c r="CI100" s="21"/>
      <c r="CJ100" s="27">
        <f t="shared" si="61"/>
        <v>0</v>
      </c>
    </row>
    <row r="101" spans="1:88" ht="15.75" thickBot="1" x14ac:dyDescent="0.3">
      <c r="B101" t="s">
        <v>47</v>
      </c>
      <c r="C101" s="17">
        <v>9459933000</v>
      </c>
      <c r="D101" t="s">
        <v>371</v>
      </c>
      <c r="E101" t="str">
        <f t="shared" si="48"/>
        <v>$2 Billion - $10 Billion</v>
      </c>
      <c r="F101">
        <f>IF(C101="", "", COUNTIF($C$6:C101,"&gt;0"))</f>
        <v>95</v>
      </c>
      <c r="G101" t="str">
        <f>IF(E101&lt;&gt;'[1]By Asset Category'!$B$1,"",COUNTIF($E$6:E101,'[1]By Asset Category'!$B$1))</f>
        <v/>
      </c>
      <c r="H101" t="s">
        <v>372</v>
      </c>
      <c r="I101" t="s">
        <v>3</v>
      </c>
      <c r="J101" t="s">
        <v>3</v>
      </c>
      <c r="K101" t="s">
        <v>3</v>
      </c>
      <c r="L101" s="65"/>
      <c r="M101" s="19">
        <v>0</v>
      </c>
      <c r="N101" s="19">
        <v>0</v>
      </c>
      <c r="O101" s="19">
        <v>0</v>
      </c>
      <c r="P101" s="19">
        <v>0</v>
      </c>
      <c r="Q101" s="19">
        <f t="shared" si="62"/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f t="shared" si="63"/>
        <v>0</v>
      </c>
      <c r="W101" s="21">
        <v>0</v>
      </c>
      <c r="X101" s="21">
        <v>0</v>
      </c>
      <c r="Y101" s="21">
        <v>0</v>
      </c>
      <c r="Z101" s="21"/>
      <c r="AA101" s="22">
        <f t="shared" si="64"/>
        <v>0</v>
      </c>
      <c r="AB101" s="21"/>
      <c r="AC101" s="21"/>
      <c r="AD101" s="21"/>
      <c r="AE101" s="21"/>
      <c r="AF101" s="35">
        <f t="shared" si="65"/>
        <v>0</v>
      </c>
      <c r="AG101" s="21"/>
      <c r="AH101" s="21"/>
      <c r="AI101" s="21"/>
      <c r="AJ101" s="21"/>
      <c r="AK101" s="22">
        <f t="shared" si="66"/>
        <v>0</v>
      </c>
      <c r="AL101" s="21"/>
      <c r="AM101" s="21"/>
      <c r="AN101" s="21"/>
      <c r="AO101" s="21"/>
      <c r="AP101" s="22">
        <f t="shared" si="67"/>
        <v>0</v>
      </c>
      <c r="AQ101" s="21"/>
      <c r="AR101" s="21"/>
      <c r="AS101" s="21"/>
      <c r="AT101" s="21"/>
      <c r="AU101" s="22">
        <f t="shared" si="68"/>
        <v>0</v>
      </c>
      <c r="AV101" s="21"/>
      <c r="AW101" s="21"/>
      <c r="AX101" s="21"/>
      <c r="AY101" s="21"/>
      <c r="AZ101" s="22">
        <f t="shared" si="69"/>
        <v>0</v>
      </c>
      <c r="BA101" s="21"/>
      <c r="BB101" s="21"/>
      <c r="BC101" s="21"/>
      <c r="BD101" s="21"/>
      <c r="BE101" s="22">
        <f t="shared" si="70"/>
        <v>0</v>
      </c>
      <c r="BF101" s="21"/>
      <c r="BG101" s="21"/>
      <c r="BH101" s="21"/>
      <c r="BI101" s="21"/>
      <c r="BJ101" s="22"/>
      <c r="BK101" s="21"/>
      <c r="BL101" s="21"/>
      <c r="BM101" s="21"/>
      <c r="BN101" s="21"/>
      <c r="BO101" s="25">
        <f>SUM(BK101:BN101)</f>
        <v>0</v>
      </c>
      <c r="BP101" s="21"/>
      <c r="BQ101" s="21"/>
      <c r="BR101" s="21"/>
      <c r="BS101" s="21"/>
      <c r="BT101" s="25">
        <f t="shared" si="46"/>
        <v>0</v>
      </c>
      <c r="BU101" s="21"/>
      <c r="BV101" s="36" t="s">
        <v>3</v>
      </c>
      <c r="BW101" s="21"/>
      <c r="BX101" s="21"/>
      <c r="BY101" s="21"/>
      <c r="BZ101" s="27">
        <f t="shared" si="49"/>
        <v>0</v>
      </c>
      <c r="CA101" s="36"/>
      <c r="CB101" s="21"/>
      <c r="CC101" s="21"/>
      <c r="CD101" s="21"/>
      <c r="CE101" s="27">
        <f t="shared" si="35"/>
        <v>0</v>
      </c>
      <c r="CF101" s="36"/>
      <c r="CG101" s="21"/>
      <c r="CH101" s="21"/>
      <c r="CI101" s="21"/>
      <c r="CJ101" s="27">
        <f t="shared" si="61"/>
        <v>0</v>
      </c>
    </row>
    <row r="102" spans="1:88" ht="15.75" thickBot="1" x14ac:dyDescent="0.3">
      <c r="A102" s="66"/>
      <c r="B102" s="66"/>
      <c r="C102" s="66"/>
      <c r="D102" s="66"/>
      <c r="E102" s="66"/>
      <c r="F102" t="str">
        <f>IF(C102="", "", COUNTIF($C$6:C102,"&gt;0"))</f>
        <v/>
      </c>
      <c r="H102" s="66"/>
      <c r="I102" s="66"/>
      <c r="J102" s="66"/>
      <c r="K102" s="66"/>
      <c r="L102" s="67"/>
      <c r="M102" s="68">
        <f t="shared" ref="M102:AF102" si="71">SUM(M13:M99)</f>
        <v>63629.05</v>
      </c>
      <c r="N102" s="69">
        <f t="shared" si="71"/>
        <v>39230</v>
      </c>
      <c r="O102" s="69">
        <f t="shared" si="71"/>
        <v>44750</v>
      </c>
      <c r="P102" s="69">
        <f t="shared" si="71"/>
        <v>0</v>
      </c>
      <c r="Q102" s="70">
        <f t="shared" si="71"/>
        <v>147609.04999999999</v>
      </c>
      <c r="R102" s="68">
        <f t="shared" si="71"/>
        <v>57877</v>
      </c>
      <c r="S102" s="69">
        <f t="shared" si="71"/>
        <v>36655</v>
      </c>
      <c r="T102" s="69">
        <f t="shared" si="71"/>
        <v>45530</v>
      </c>
      <c r="U102" s="69">
        <f t="shared" si="71"/>
        <v>0</v>
      </c>
      <c r="V102" s="70">
        <f t="shared" si="71"/>
        <v>140062</v>
      </c>
      <c r="W102" s="68">
        <f t="shared" si="71"/>
        <v>62832</v>
      </c>
      <c r="X102" s="69">
        <f t="shared" si="71"/>
        <v>40050</v>
      </c>
      <c r="Y102" s="69">
        <f t="shared" si="71"/>
        <v>67715</v>
      </c>
      <c r="Z102" s="69">
        <f t="shared" si="71"/>
        <v>1000</v>
      </c>
      <c r="AA102" s="70">
        <f t="shared" si="71"/>
        <v>171597</v>
      </c>
      <c r="AB102" s="68">
        <f t="shared" si="71"/>
        <v>64942.71</v>
      </c>
      <c r="AC102" s="69">
        <f t="shared" si="71"/>
        <v>45095</v>
      </c>
      <c r="AD102" s="69">
        <f t="shared" si="71"/>
        <v>73600</v>
      </c>
      <c r="AE102" s="69">
        <f t="shared" si="71"/>
        <v>2500</v>
      </c>
      <c r="AF102" s="70">
        <f t="shared" si="71"/>
        <v>186137.71</v>
      </c>
      <c r="AG102" s="68">
        <f>SUM(AG6:AG99)</f>
        <v>107254</v>
      </c>
      <c r="AH102" s="69">
        <f>SUM(AH6:AH99)</f>
        <v>60460</v>
      </c>
      <c r="AI102" s="69">
        <f>SUM(AI6:AI99)</f>
        <v>107100</v>
      </c>
      <c r="AJ102" s="69">
        <f>SUM(AJ6:AJ99)</f>
        <v>15000</v>
      </c>
      <c r="AK102" s="70">
        <f>SUM(AK6:AK99)</f>
        <v>287814</v>
      </c>
      <c r="AL102" s="68">
        <v>160292.91999999998</v>
      </c>
      <c r="AM102" s="69">
        <v>113530</v>
      </c>
      <c r="AN102" s="69">
        <v>161940</v>
      </c>
      <c r="AO102" s="69">
        <v>37000</v>
      </c>
      <c r="AP102" s="70">
        <v>472762.92</v>
      </c>
      <c r="AQ102" s="68">
        <v>171021</v>
      </c>
      <c r="AR102" s="69">
        <v>79615</v>
      </c>
      <c r="AS102" s="69">
        <v>176715</v>
      </c>
      <c r="AT102" s="69">
        <v>25500</v>
      </c>
      <c r="AU102" s="69">
        <v>452851</v>
      </c>
      <c r="AV102" s="68">
        <f>SUM(AV6:AV100)</f>
        <v>103857</v>
      </c>
      <c r="AW102" s="69">
        <f>SUM(AW6:AW100)</f>
        <v>55025</v>
      </c>
      <c r="AX102" s="69">
        <f>SUM(AX6:AX100)</f>
        <v>123090</v>
      </c>
      <c r="AY102" s="69">
        <f>SUM(AY6:AY100)</f>
        <v>7500</v>
      </c>
      <c r="AZ102" s="70" t="e">
        <f>SUM(AZ6:AZ100)-#REF!-#REF!-#REF!-#REF!</f>
        <v>#REF!</v>
      </c>
      <c r="BA102" s="68">
        <f>SUM(BA6:BA100)</f>
        <v>109806.1</v>
      </c>
      <c r="BB102" s="69">
        <f>SUM(BB6:BB100)</f>
        <v>51550</v>
      </c>
      <c r="BC102" s="69">
        <f>SUM(BC6:BC100)</f>
        <v>125150</v>
      </c>
      <c r="BD102" s="69">
        <f>SUM(BD6:BD100)</f>
        <v>7000</v>
      </c>
      <c r="BE102" s="70" t="e">
        <f>SUM(BE6:BE100)-#REF!-#REF!-#REF!-#REF!</f>
        <v>#REF!</v>
      </c>
      <c r="BF102" s="68">
        <f>SUM(BF6:BF101)</f>
        <v>112232</v>
      </c>
      <c r="BG102" s="69">
        <f>SUM(BG6:BG101)</f>
        <v>50950</v>
      </c>
      <c r="BH102" s="69">
        <f>SUM(BH6:BH101)</f>
        <v>120350</v>
      </c>
      <c r="BI102" s="69">
        <f>SUM(BI92:BI99)</f>
        <v>0</v>
      </c>
      <c r="BJ102" s="70">
        <f>SUM(BF102:BI102)</f>
        <v>283532</v>
      </c>
      <c r="BK102" s="69">
        <f>SUM(BK6:BK101)</f>
        <v>145270.44</v>
      </c>
      <c r="BL102" s="69">
        <f>SUM(BL6:BL101)</f>
        <v>55483.55</v>
      </c>
      <c r="BM102" s="69">
        <f>SUM(BM6:BM101)</f>
        <v>144350</v>
      </c>
      <c r="BN102" s="69">
        <f>SUM(BN92:BN101)</f>
        <v>2000</v>
      </c>
      <c r="BO102" s="70">
        <f>SUM(BK102:BN102)</f>
        <v>347103.99</v>
      </c>
      <c r="BP102" s="69">
        <f>SUM(BP6:BP101)</f>
        <v>123477.07</v>
      </c>
      <c r="BQ102" s="69">
        <f>SUM(BQ6:BQ101)</f>
        <v>56799</v>
      </c>
      <c r="BR102" s="69">
        <f>SUM(BR6:BR101)</f>
        <v>144600</v>
      </c>
      <c r="BS102" s="69">
        <f>SUM(BS6:BS101)</f>
        <v>20000</v>
      </c>
      <c r="BT102" s="69">
        <f>SUM(BP102:BS102)</f>
        <v>344876.07</v>
      </c>
      <c r="BU102" s="69">
        <f>SUM(BU6:BU100)</f>
        <v>18124.8</v>
      </c>
      <c r="BV102" s="68">
        <f>SUM(BV6:BV101)</f>
        <v>124777.63</v>
      </c>
      <c r="BW102" s="69">
        <f>SUM(BW6:BW101)</f>
        <v>75275</v>
      </c>
      <c r="BX102" s="69">
        <f>SUM(BX6:BX101)</f>
        <v>177650</v>
      </c>
      <c r="BY102" s="69">
        <f>SUM(BY6:BY101)</f>
        <v>25750</v>
      </c>
      <c r="BZ102" s="70">
        <f>SUM(BV102:BY102)</f>
        <v>403452.63</v>
      </c>
      <c r="CA102" s="68">
        <f>SUM(CA6:CA101)</f>
        <v>132713.83000000002</v>
      </c>
      <c r="CB102" s="69">
        <f>SUM(CB6:CB101)</f>
        <v>65675</v>
      </c>
      <c r="CC102" s="69">
        <f>SUM(CC6:CC101)</f>
        <v>199250</v>
      </c>
      <c r="CD102" s="69">
        <f>SUM(CD6:CD101)</f>
        <v>12500</v>
      </c>
      <c r="CE102" s="70">
        <f>SUM(CA102:CD102)</f>
        <v>410138.83</v>
      </c>
      <c r="CF102" s="68">
        <f>SUM(CF6:CF101)</f>
        <v>75046.650000000009</v>
      </c>
      <c r="CG102" s="69">
        <f>SUM(CG6:CG101)</f>
        <v>13225</v>
      </c>
      <c r="CH102" s="69">
        <f>SUM(CH6:CH101)</f>
        <v>71500</v>
      </c>
      <c r="CI102" s="69">
        <f>SUM(CI6:CI101)</f>
        <v>10500</v>
      </c>
      <c r="CJ102" s="72">
        <f>SUM(CF102:CI102)</f>
        <v>170271.65000000002</v>
      </c>
    </row>
    <row r="103" spans="1:88" x14ac:dyDescent="0.25">
      <c r="F103" t="str">
        <f>IF(C103="", "", COUNTIF($C$6:C103,"&gt;0"))</f>
        <v/>
      </c>
      <c r="AT103" s="71" t="s">
        <v>373</v>
      </c>
      <c r="AU103" s="1">
        <v>14509</v>
      </c>
      <c r="AY103" s="71" t="s">
        <v>373</v>
      </c>
      <c r="AZ103" s="1">
        <f>1500+8968.23</f>
        <v>10468.23</v>
      </c>
      <c r="BD103" s="71" t="s">
        <v>373</v>
      </c>
      <c r="BE103" s="1">
        <f>7802+1500+500+250</f>
        <v>10052</v>
      </c>
    </row>
    <row r="104" spans="1:88" x14ac:dyDescent="0.25">
      <c r="D104">
        <f ca="1">D104</f>
        <v>0</v>
      </c>
      <c r="F104" t="str">
        <f>IF(C104="", "", COUNTIF($C$6:C104,"&gt;0"))</f>
        <v/>
      </c>
      <c r="AT104" s="71" t="s">
        <v>374</v>
      </c>
      <c r="AU104" s="1">
        <f>22757-4000</f>
        <v>18757</v>
      </c>
      <c r="AY104" s="71" t="s">
        <v>375</v>
      </c>
      <c r="AZ104" s="1">
        <f>17835</f>
        <v>17835</v>
      </c>
      <c r="BD104" s="71" t="s">
        <v>375</v>
      </c>
      <c r="BE104" s="1">
        <f>11310</f>
        <v>11310</v>
      </c>
    </row>
    <row r="105" spans="1:88" x14ac:dyDescent="0.25">
      <c r="F105" t="str">
        <f>IF(C105="", "", COUNTIF($C$6:C105,"&gt;0"))</f>
        <v/>
      </c>
      <c r="AT105" s="71"/>
      <c r="AY105" s="71" t="s">
        <v>376</v>
      </c>
      <c r="AZ105" s="1">
        <v>3300</v>
      </c>
      <c r="BD105" s="71" t="s">
        <v>376</v>
      </c>
      <c r="BE105" s="1">
        <v>2450</v>
      </c>
    </row>
    <row r="106" spans="1:88" x14ac:dyDescent="0.25"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G106" s="21"/>
      <c r="BH106" s="21"/>
      <c r="BI106" s="21"/>
      <c r="BO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8" x14ac:dyDescent="0.25"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G107" s="21"/>
    </row>
  </sheetData>
  <mergeCells count="15">
    <mergeCell ref="BV3:BZ3"/>
    <mergeCell ref="CA3:CE3"/>
    <mergeCell ref="CF3:CJ3"/>
    <mergeCell ref="AQ3:AU3"/>
    <mergeCell ref="AV3:AZ3"/>
    <mergeCell ref="BA3:BE3"/>
    <mergeCell ref="BF3:BJ3"/>
    <mergeCell ref="BK3:BO3"/>
    <mergeCell ref="BP3:BT3"/>
    <mergeCell ref="AL3:AP3"/>
    <mergeCell ref="M3:Q3"/>
    <mergeCell ref="R3:V3"/>
    <mergeCell ref="W3:AA3"/>
    <mergeCell ref="AB3:AF3"/>
    <mergeCell ref="AG3:AK3"/>
  </mergeCells>
  <hyperlinks>
    <hyperlink ref="K89" r:id="rId1" display="james.black@myccb.banmk" xr:uid="{0C769BAF-16D1-456D-854C-5F5541444D97}"/>
  </hyperlinks>
  <printOptions horizontalCentered="1"/>
  <pageMargins left="0.7" right="0.7" top="0.75" bottom="0.75" header="0.3" footer="0.3"/>
  <pageSetup paperSize="3" fitToHeight="0" orientation="landscape" copies="2" r:id="rId2"/>
  <headerFooter>
    <oddHeader xml:space="preserve">&amp;C&amp;"-,Bold"&amp;20 2020 BankPAC Campaign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List</vt:lpstr>
      <vt:lpstr>List!Print_Area</vt:lpstr>
      <vt:lpstr>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Derflinger</dc:creator>
  <cp:lastModifiedBy>Megan Darmanin</cp:lastModifiedBy>
  <dcterms:created xsi:type="dcterms:W3CDTF">2022-05-24T17:24:00Z</dcterms:created>
  <dcterms:modified xsi:type="dcterms:W3CDTF">2022-05-25T16:19:10Z</dcterms:modified>
</cp:coreProperties>
</file>